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aniel_cantu-hertzler_phila_gov/Documents/H DRIVE/Regulatory Law/Water Rate Board/2025 General/"/>
    </mc:Choice>
  </mc:AlternateContent>
  <xr:revisionPtr revIDLastSave="0" documentId="8_{05947D94-F962-4175-8FD2-F4C9C7DBCAE2}" xr6:coauthVersionLast="47" xr6:coauthVersionMax="47" xr10:uidLastSave="{00000000-0000-0000-0000-000000000000}"/>
  <bookViews>
    <workbookView xWindow="31200" yWindow="1800" windowWidth="24360" windowHeight="13620" firstSheet="1" activeTab="1" xr2:uid="{113B6650-C672-465F-9A70-2996F56A9A8B}"/>
  </bookViews>
  <sheets>
    <sheet name="OM Adj 6" sheetId="1" r:id="rId1"/>
    <sheet name="OM Adj 8" sheetId="2" r:id="rId2"/>
    <sheet name="Pension &amp; Fringes Rati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F2" i="3"/>
  <c r="G2" i="3" s="1"/>
  <c r="H2" i="3" s="1"/>
  <c r="I2" i="3" s="1"/>
  <c r="J2" i="3" s="1"/>
  <c r="A5" i="3"/>
  <c r="E9" i="3"/>
  <c r="E20" i="3" s="1"/>
  <c r="F9" i="3"/>
  <c r="F17" i="3" s="1"/>
  <c r="G9" i="3"/>
  <c r="H9" i="3"/>
  <c r="H20" i="3" s="1"/>
  <c r="I9" i="3"/>
  <c r="J9" i="3"/>
  <c r="J19" i="3" s="1"/>
  <c r="E12" i="3"/>
  <c r="F12" i="3"/>
  <c r="G12" i="3"/>
  <c r="H12" i="3"/>
  <c r="I12" i="3"/>
  <c r="J12" i="3"/>
  <c r="H35" i="2" s="1"/>
  <c r="E13" i="3"/>
  <c r="F13" i="3"/>
  <c r="G13" i="3"/>
  <c r="H13" i="3"/>
  <c r="F23" i="1" s="1"/>
  <c r="I13" i="3"/>
  <c r="J13" i="3"/>
  <c r="E14" i="3"/>
  <c r="C24" i="1" s="1"/>
  <c r="F14" i="3"/>
  <c r="G14" i="3"/>
  <c r="H14" i="3"/>
  <c r="I14" i="3"/>
  <c r="J14" i="3"/>
  <c r="H37" i="2" s="1"/>
  <c r="E17" i="3"/>
  <c r="E18" i="3"/>
  <c r="J18" i="3"/>
  <c r="E19" i="3"/>
  <c r="F19" i="3"/>
  <c r="J20" i="3"/>
  <c r="E28" i="3"/>
  <c r="F28" i="3"/>
  <c r="F30" i="3" s="1"/>
  <c r="G28" i="3"/>
  <c r="G30" i="3" s="1"/>
  <c r="H28" i="3"/>
  <c r="H30" i="3" s="1"/>
  <c r="I28" i="3"/>
  <c r="I30" i="3" s="1"/>
  <c r="J28" i="3"/>
  <c r="J30" i="3" s="1"/>
  <c r="E30" i="3"/>
  <c r="D3" i="2"/>
  <c r="E3" i="2" s="1"/>
  <c r="F3" i="2" s="1"/>
  <c r="G3" i="2" s="1"/>
  <c r="H3" i="2" s="1"/>
  <c r="O3" i="2"/>
  <c r="P3" i="2" s="1"/>
  <c r="Q3" i="2" s="1"/>
  <c r="R3" i="2" s="1"/>
  <c r="S3" i="2" s="1"/>
  <c r="E7" i="2"/>
  <c r="F7" i="2" s="1"/>
  <c r="A7" i="2"/>
  <c r="A10" i="2" s="1"/>
  <c r="D10" i="2"/>
  <c r="F10" i="2"/>
  <c r="G10" i="2" s="1"/>
  <c r="F11" i="2"/>
  <c r="D12" i="2"/>
  <c r="D20" i="2" s="1"/>
  <c r="D13" i="2"/>
  <c r="D21" i="2" s="1"/>
  <c r="F13" i="2"/>
  <c r="G13" i="2" s="1"/>
  <c r="F14" i="2"/>
  <c r="G14" i="2" s="1"/>
  <c r="D15" i="2"/>
  <c r="D23" i="2" s="1"/>
  <c r="F15" i="2"/>
  <c r="G15" i="2" s="1"/>
  <c r="H15" i="2" s="1"/>
  <c r="C16" i="2"/>
  <c r="E16" i="2"/>
  <c r="C18" i="2"/>
  <c r="C22" i="2"/>
  <c r="D22" i="2"/>
  <c r="D29" i="2"/>
  <c r="D35" i="2"/>
  <c r="E35" i="2"/>
  <c r="F35" i="2"/>
  <c r="G35" i="2"/>
  <c r="D36" i="2"/>
  <c r="E36" i="2"/>
  <c r="G36" i="2"/>
  <c r="H36" i="2"/>
  <c r="D37" i="2"/>
  <c r="E37" i="2"/>
  <c r="F37" i="2"/>
  <c r="G37" i="2"/>
  <c r="L103" i="2"/>
  <c r="L105" i="2"/>
  <c r="L107" i="2"/>
  <c r="D3" i="1"/>
  <c r="E3" i="1" s="1"/>
  <c r="F3" i="1" s="1"/>
  <c r="G3" i="1" s="1"/>
  <c r="H3" i="1" s="1"/>
  <c r="O3" i="1"/>
  <c r="P3" i="1" s="1"/>
  <c r="Q3" i="1" s="1"/>
  <c r="R3" i="1" s="1"/>
  <c r="S3" i="1" s="1"/>
  <c r="C14" i="1"/>
  <c r="C16" i="1" s="1"/>
  <c r="C18" i="1" s="1"/>
  <c r="D14" i="1"/>
  <c r="E14" i="1"/>
  <c r="F14" i="1"/>
  <c r="G14" i="1"/>
  <c r="H14" i="1"/>
  <c r="C22" i="1"/>
  <c r="D22" i="1"/>
  <c r="E22" i="1"/>
  <c r="F22" i="1"/>
  <c r="G22" i="1"/>
  <c r="D23" i="1"/>
  <c r="E23" i="1"/>
  <c r="G23" i="1"/>
  <c r="H23" i="1"/>
  <c r="D24" i="1"/>
  <c r="E24" i="1"/>
  <c r="F24" i="1"/>
  <c r="G24" i="1"/>
  <c r="H24" i="1"/>
  <c r="L73" i="1"/>
  <c r="L75" i="1"/>
  <c r="L77" i="1"/>
  <c r="J17" i="3" l="1"/>
  <c r="F36" i="2"/>
  <c r="H15" i="3"/>
  <c r="F20" i="3"/>
  <c r="H19" i="3"/>
  <c r="F15" i="3"/>
  <c r="H22" i="1"/>
  <c r="H25" i="1" s="1"/>
  <c r="J15" i="3"/>
  <c r="C37" i="2"/>
  <c r="H18" i="3"/>
  <c r="I15" i="3"/>
  <c r="G15" i="3"/>
  <c r="A6" i="3"/>
  <c r="G7" i="2"/>
  <c r="E38" i="2"/>
  <c r="H7" i="2"/>
  <c r="O23" i="2"/>
  <c r="F20" i="2"/>
  <c r="E20" i="2"/>
  <c r="P20" i="2" s="1"/>
  <c r="C21" i="2"/>
  <c r="N21" i="2" s="1"/>
  <c r="C19" i="2"/>
  <c r="N19" i="2" s="1"/>
  <c r="C23" i="2"/>
  <c r="N23" i="2" s="1"/>
  <c r="C20" i="2"/>
  <c r="E29" i="2"/>
  <c r="E19" i="2"/>
  <c r="P19" i="2" s="1"/>
  <c r="E22" i="2"/>
  <c r="P22" i="2" s="1"/>
  <c r="E21" i="2"/>
  <c r="P21" i="2" s="1"/>
  <c r="E18" i="2"/>
  <c r="P18" i="2" s="1"/>
  <c r="E23" i="2"/>
  <c r="P23" i="2" s="1"/>
  <c r="H13" i="2"/>
  <c r="D19" i="2"/>
  <c r="O19" i="2" s="1"/>
  <c r="D38" i="2"/>
  <c r="H38" i="2"/>
  <c r="D7" i="1"/>
  <c r="E7" i="1" s="1"/>
  <c r="F7" i="1" s="1"/>
  <c r="G7" i="1" s="1"/>
  <c r="G25" i="1"/>
  <c r="N16" i="1"/>
  <c r="A7" i="1"/>
  <c r="F16" i="2"/>
  <c r="F19" i="2"/>
  <c r="G11" i="2"/>
  <c r="C23" i="1"/>
  <c r="C25" i="1" s="1"/>
  <c r="C36" i="2"/>
  <c r="G20" i="3"/>
  <c r="G17" i="3"/>
  <c r="G18" i="3"/>
  <c r="G19" i="3"/>
  <c r="F25" i="1"/>
  <c r="E25" i="1"/>
  <c r="D25" i="1"/>
  <c r="D103" i="2"/>
  <c r="O20" i="2"/>
  <c r="N18" i="2"/>
  <c r="E15" i="3"/>
  <c r="C35" i="2"/>
  <c r="G38" i="2"/>
  <c r="O21" i="2"/>
  <c r="F38" i="2"/>
  <c r="H10" i="2"/>
  <c r="D16" i="2"/>
  <c r="D18" i="2"/>
  <c r="O22" i="2"/>
  <c r="N22" i="2"/>
  <c r="I19" i="3"/>
  <c r="I20" i="3"/>
  <c r="I17" i="3"/>
  <c r="I18" i="3"/>
  <c r="H14" i="2"/>
  <c r="A11" i="2"/>
  <c r="A12" i="2" s="1"/>
  <c r="F18" i="3"/>
  <c r="H17" i="3"/>
  <c r="A7" i="3"/>
  <c r="A9" i="3" s="1"/>
  <c r="F22" i="2" l="1"/>
  <c r="Q22" i="2" s="1"/>
  <c r="F23" i="2"/>
  <c r="Q23" i="2" s="1"/>
  <c r="C24" i="2"/>
  <c r="C31" i="2" s="1"/>
  <c r="F18" i="2"/>
  <c r="Q18" i="2" s="1"/>
  <c r="G19" i="2"/>
  <c r="R19" i="2" s="1"/>
  <c r="F29" i="2"/>
  <c r="F21" i="2"/>
  <c r="Q21" i="2" s="1"/>
  <c r="Q20" i="2"/>
  <c r="E103" i="2"/>
  <c r="O103" i="2"/>
  <c r="P103" i="2"/>
  <c r="N20" i="2"/>
  <c r="N103" i="2" s="1"/>
  <c r="C103" i="2"/>
  <c r="E24" i="2"/>
  <c r="E31" i="2" s="1"/>
  <c r="C39" i="2"/>
  <c r="C40" i="2"/>
  <c r="C41" i="2"/>
  <c r="C38" i="2"/>
  <c r="N18" i="1"/>
  <c r="N73" i="1" s="1"/>
  <c r="F16" i="1"/>
  <c r="E16" i="1"/>
  <c r="E18" i="1" s="1"/>
  <c r="D16" i="1"/>
  <c r="H7" i="1"/>
  <c r="G16" i="1"/>
  <c r="A13" i="2"/>
  <c r="P26" i="2"/>
  <c r="H11" i="2"/>
  <c r="Q19" i="2"/>
  <c r="G16" i="2"/>
  <c r="O18" i="2"/>
  <c r="D24" i="2"/>
  <c r="D31" i="2" s="1"/>
  <c r="C26" i="1"/>
  <c r="C27" i="1"/>
  <c r="N27" i="1" s="1"/>
  <c r="C73" i="1"/>
  <c r="C28" i="1"/>
  <c r="N28" i="1" s="1"/>
  <c r="A12" i="3"/>
  <c r="N41" i="2" l="1"/>
  <c r="E36" i="3"/>
  <c r="N40" i="2"/>
  <c r="E35" i="3"/>
  <c r="N39" i="2"/>
  <c r="E34" i="3"/>
  <c r="A13" i="3"/>
  <c r="A14" i="3" s="1"/>
  <c r="Q103" i="2"/>
  <c r="G23" i="2"/>
  <c r="R23" i="2" s="1"/>
  <c r="G20" i="2"/>
  <c r="G18" i="2"/>
  <c r="G22" i="2"/>
  <c r="R22" i="2" s="1"/>
  <c r="G29" i="2"/>
  <c r="G21" i="2"/>
  <c r="R21" i="2" s="1"/>
  <c r="Q26" i="2"/>
  <c r="F103" i="2"/>
  <c r="N26" i="2"/>
  <c r="F24" i="2"/>
  <c r="F31" i="2" s="1"/>
  <c r="F39" i="2" s="1"/>
  <c r="H34" i="3" s="1"/>
  <c r="N43" i="2"/>
  <c r="C43" i="2"/>
  <c r="C45" i="2" s="1"/>
  <c r="E39" i="2"/>
  <c r="G34" i="3" s="1"/>
  <c r="E40" i="2"/>
  <c r="E41" i="2"/>
  <c r="P16" i="1"/>
  <c r="R16" i="1"/>
  <c r="G18" i="1"/>
  <c r="O16" i="1"/>
  <c r="O18" i="1" s="1"/>
  <c r="O73" i="1" s="1"/>
  <c r="D18" i="1"/>
  <c r="Q16" i="1"/>
  <c r="F18" i="1"/>
  <c r="F73" i="1" s="1"/>
  <c r="E26" i="1"/>
  <c r="H16" i="1"/>
  <c r="A14" i="2"/>
  <c r="A15" i="2" s="1"/>
  <c r="N26" i="1"/>
  <c r="N30" i="1" s="1"/>
  <c r="C30" i="1"/>
  <c r="D40" i="2"/>
  <c r="D41" i="2"/>
  <c r="D39" i="2"/>
  <c r="F34" i="3" s="1"/>
  <c r="O26" i="2"/>
  <c r="H16" i="2"/>
  <c r="O40" i="2" l="1"/>
  <c r="F35" i="3"/>
  <c r="O41" i="2"/>
  <c r="F36" i="3"/>
  <c r="P41" i="2"/>
  <c r="G36" i="3"/>
  <c r="P40" i="2"/>
  <c r="G35" i="3"/>
  <c r="A17" i="3"/>
  <c r="A18" i="3"/>
  <c r="F41" i="2"/>
  <c r="N45" i="2"/>
  <c r="H19" i="2"/>
  <c r="S19" i="2" s="1"/>
  <c r="F40" i="2"/>
  <c r="C105" i="2"/>
  <c r="A16" i="2"/>
  <c r="R18" i="2"/>
  <c r="G24" i="2"/>
  <c r="G31" i="2" s="1"/>
  <c r="R20" i="2"/>
  <c r="R103" i="2" s="1"/>
  <c r="G103" i="2"/>
  <c r="H20" i="2"/>
  <c r="H29" i="2"/>
  <c r="H23" i="2"/>
  <c r="S23" i="2" s="1"/>
  <c r="H21" i="2"/>
  <c r="S21" i="2" s="1"/>
  <c r="H22" i="2"/>
  <c r="S22" i="2" s="1"/>
  <c r="H18" i="2"/>
  <c r="N105" i="2"/>
  <c r="P39" i="2"/>
  <c r="P43" i="2" s="1"/>
  <c r="E43" i="2"/>
  <c r="P18" i="1"/>
  <c r="P73" i="1" s="1"/>
  <c r="Q18" i="1"/>
  <c r="Q73" i="1" s="1"/>
  <c r="R18" i="1"/>
  <c r="R73" i="1" s="1"/>
  <c r="F27" i="1"/>
  <c r="Q27" i="1" s="1"/>
  <c r="S16" i="1"/>
  <c r="S18" i="1" s="1"/>
  <c r="S73" i="1" s="1"/>
  <c r="H18" i="1"/>
  <c r="D27" i="1"/>
  <c r="O27" i="1" s="1"/>
  <c r="D73" i="1"/>
  <c r="D26" i="1"/>
  <c r="D28" i="1"/>
  <c r="O28" i="1" s="1"/>
  <c r="E28" i="1"/>
  <c r="P28" i="1" s="1"/>
  <c r="E27" i="1"/>
  <c r="P27" i="1" s="1"/>
  <c r="F26" i="1"/>
  <c r="Q26" i="1" s="1"/>
  <c r="E73" i="1"/>
  <c r="F28" i="1"/>
  <c r="Q28" i="1" s="1"/>
  <c r="Q39" i="2"/>
  <c r="C32" i="1"/>
  <c r="C75" i="1"/>
  <c r="N32" i="1"/>
  <c r="N75" i="1"/>
  <c r="O39" i="2"/>
  <c r="O43" i="2" s="1"/>
  <c r="D43" i="2"/>
  <c r="P26" i="1"/>
  <c r="C107" i="2"/>
  <c r="A18" i="2"/>
  <c r="G26" i="1"/>
  <c r="G73" i="1"/>
  <c r="G28" i="1"/>
  <c r="R28" i="1" s="1"/>
  <c r="G27" i="1"/>
  <c r="R27" i="1" s="1"/>
  <c r="N107" i="2" l="1"/>
  <c r="Q40" i="2"/>
  <c r="H35" i="3"/>
  <c r="Q41" i="2"/>
  <c r="H36" i="3"/>
  <c r="A19" i="3"/>
  <c r="F43" i="2"/>
  <c r="F45" i="2" s="1"/>
  <c r="R26" i="2"/>
  <c r="G41" i="2"/>
  <c r="G39" i="2"/>
  <c r="I34" i="3" s="1"/>
  <c r="G40" i="2"/>
  <c r="S20" i="2"/>
  <c r="S103" i="2" s="1"/>
  <c r="H103" i="2"/>
  <c r="H24" i="2"/>
  <c r="H31" i="2" s="1"/>
  <c r="S18" i="2"/>
  <c r="E45" i="2"/>
  <c r="E105" i="2"/>
  <c r="P105" i="2"/>
  <c r="P45" i="2"/>
  <c r="P30" i="1"/>
  <c r="P75" i="1" s="1"/>
  <c r="E30" i="1"/>
  <c r="E75" i="1" s="1"/>
  <c r="Q30" i="1"/>
  <c r="Q32" i="1" s="1"/>
  <c r="C77" i="1"/>
  <c r="F30" i="1"/>
  <c r="F75" i="1" s="1"/>
  <c r="D30" i="1"/>
  <c r="O26" i="1"/>
  <c r="O30" i="1" s="1"/>
  <c r="R26" i="1"/>
  <c r="R30" i="1" s="1"/>
  <c r="G30" i="1"/>
  <c r="D45" i="2"/>
  <c r="D105" i="2"/>
  <c r="O45" i="2"/>
  <c r="O105" i="2"/>
  <c r="N77" i="1"/>
  <c r="A19" i="2"/>
  <c r="H26" i="1"/>
  <c r="H27" i="1"/>
  <c r="S27" i="1" s="1"/>
  <c r="H73" i="1"/>
  <c r="H28" i="1"/>
  <c r="S28" i="1" s="1"/>
  <c r="F105" i="2" l="1"/>
  <c r="Q43" i="2"/>
  <c r="Q45" i="2" s="1"/>
  <c r="R41" i="2"/>
  <c r="I36" i="3"/>
  <c r="R40" i="2"/>
  <c r="I35" i="3"/>
  <c r="A20" i="3"/>
  <c r="Q105" i="2"/>
  <c r="Q107" i="2" s="1"/>
  <c r="S26" i="2"/>
  <c r="H39" i="2"/>
  <c r="J34" i="3" s="1"/>
  <c r="H41" i="2"/>
  <c r="H40" i="2"/>
  <c r="G43" i="2"/>
  <c r="R39" i="2"/>
  <c r="P107" i="2"/>
  <c r="E107" i="2"/>
  <c r="D107" i="2"/>
  <c r="E32" i="1"/>
  <c r="E77" i="1" s="1"/>
  <c r="P32" i="1"/>
  <c r="P77" i="1" s="1"/>
  <c r="Q75" i="1"/>
  <c r="Q77" i="1" s="1"/>
  <c r="F32" i="1"/>
  <c r="F77" i="1" s="1"/>
  <c r="O32" i="1"/>
  <c r="O75" i="1"/>
  <c r="D75" i="1"/>
  <c r="D32" i="1"/>
  <c r="R32" i="1"/>
  <c r="R75" i="1"/>
  <c r="O107" i="2"/>
  <c r="G32" i="1"/>
  <c r="G75" i="1"/>
  <c r="S26" i="1"/>
  <c r="S30" i="1" s="1"/>
  <c r="H30" i="1"/>
  <c r="F107" i="2"/>
  <c r="A20" i="2"/>
  <c r="A21" i="2" s="1"/>
  <c r="R43" i="2" l="1"/>
  <c r="S40" i="2"/>
  <c r="J35" i="3"/>
  <c r="S41" i="2"/>
  <c r="J36" i="3"/>
  <c r="A25" i="3"/>
  <c r="R105" i="2"/>
  <c r="R45" i="2"/>
  <c r="G105" i="2"/>
  <c r="G45" i="2"/>
  <c r="S39" i="2"/>
  <c r="S43" i="2" s="1"/>
  <c r="H43" i="2"/>
  <c r="R77" i="1"/>
  <c r="D77" i="1"/>
  <c r="O77" i="1"/>
  <c r="H75" i="1"/>
  <c r="H32" i="1"/>
  <c r="G77" i="1"/>
  <c r="S32" i="1"/>
  <c r="S75" i="1"/>
  <c r="A22" i="2"/>
  <c r="A23" i="2" s="1"/>
  <c r="A24" i="2" s="1"/>
  <c r="A10" i="1"/>
  <c r="A26" i="3" l="1"/>
  <c r="A28" i="3" s="1"/>
  <c r="A30" i="3" s="1"/>
  <c r="A34" i="3" s="1"/>
  <c r="A35" i="3" s="1"/>
  <c r="A36" i="3" s="1"/>
  <c r="H45" i="2"/>
  <c r="H105" i="2"/>
  <c r="S45" i="2"/>
  <c r="S105" i="2"/>
  <c r="G107" i="2"/>
  <c r="R107" i="2"/>
  <c r="A27" i="2"/>
  <c r="A29" i="2" s="1"/>
  <c r="A31" i="2" s="1"/>
  <c r="A35" i="2" s="1"/>
  <c r="A36" i="2" s="1"/>
  <c r="A37" i="2" s="1"/>
  <c r="A38" i="2" s="1"/>
  <c r="A39" i="2" s="1"/>
  <c r="A40" i="2" s="1"/>
  <c r="A41" i="2" s="1"/>
  <c r="A43" i="2" s="1"/>
  <c r="A45" i="2" s="1"/>
  <c r="A103" i="2" s="1"/>
  <c r="A105" i="2" s="1"/>
  <c r="H77" i="1"/>
  <c r="A11" i="1"/>
  <c r="A12" i="1" s="1"/>
  <c r="A13" i="1" s="1"/>
  <c r="A14" i="1" s="1"/>
  <c r="A16" i="1" s="1"/>
  <c r="A18" i="1" s="1"/>
  <c r="A22" i="1" s="1"/>
  <c r="A23" i="1" s="1"/>
  <c r="A24" i="1" s="1"/>
  <c r="A25" i="1" s="1"/>
  <c r="A26" i="1" s="1"/>
  <c r="A27" i="1" s="1"/>
  <c r="A28" i="1" s="1"/>
  <c r="A30" i="1" s="1"/>
  <c r="A32" i="1" s="1"/>
  <c r="A73" i="1" s="1"/>
  <c r="A75" i="1" s="1"/>
  <c r="S77" i="1"/>
  <c r="H107" i="2" l="1"/>
  <c r="S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Jagt, Dave A.</author>
  </authors>
  <commentList>
    <comment ref="D11" authorId="0" shapeId="0" xr:uid="{F571B718-6506-468E-BC45-37F2B24AE2F4}">
      <text>
        <r>
          <rPr>
            <b/>
            <sz val="9"/>
            <color indexed="81"/>
            <rFont val="Tahoma"/>
            <family val="2"/>
          </rPr>
          <t>Jagt, Dave A.:</t>
        </r>
        <r>
          <rPr>
            <sz val="9"/>
            <color indexed="81"/>
            <rFont val="Tahoma"/>
            <family val="2"/>
          </rPr>
          <t xml:space="preserve">
Not phased in - budget assumed full year</t>
        </r>
      </text>
    </comment>
  </commentList>
</comments>
</file>

<file path=xl/sharedStrings.xml><?xml version="1.0" encoding="utf-8"?>
<sst xmlns="http://schemas.openxmlformats.org/spreadsheetml/2006/main" count="135" uniqueCount="86">
  <si>
    <t>O&amp;M Adjustment #6 - Additional Regulatory Compliance Staffing (GSI)</t>
  </si>
  <si>
    <t>Assumptions</t>
  </si>
  <si>
    <t>After Actual to Budget Factor</t>
  </si>
  <si>
    <t>Actual to Budget</t>
  </si>
  <si>
    <t>Line. No.</t>
  </si>
  <si>
    <t>STAFFING</t>
  </si>
  <si>
    <t>Inflation</t>
  </si>
  <si>
    <t>Factor</t>
  </si>
  <si>
    <t>COST BASIS</t>
  </si>
  <si>
    <t>Inflation Factors</t>
  </si>
  <si>
    <t>Class 100 Inflation Factor</t>
  </si>
  <si>
    <t>Labor</t>
  </si>
  <si>
    <t>FY 2026 Cumulative Factor</t>
  </si>
  <si>
    <t>Operations (GSI Maint)</t>
  </si>
  <si>
    <t>Additional Staffing (2026 $)</t>
  </si>
  <si>
    <t>FY 2027</t>
  </si>
  <si>
    <t>FY 2028</t>
  </si>
  <si>
    <t>Source:</t>
  </si>
  <si>
    <t>GSI Maintenance Cost Projects - Ops Analysis - BCJ Response to Finance_BV EDIT 2022.05.09</t>
  </si>
  <si>
    <t>FY 2029</t>
  </si>
  <si>
    <t>FY 2030</t>
  </si>
  <si>
    <t>Subtotal</t>
  </si>
  <si>
    <t>Inflated Costs</t>
  </si>
  <si>
    <t>Operations - Salaries &amp; Wages</t>
  </si>
  <si>
    <t>TOTAL DIRECT ADJUSTMENTS</t>
  </si>
  <si>
    <t>City Finance - Pension &amp; Fringes</t>
  </si>
  <si>
    <t>Water Fund Salary Ratios [See Pension &amp; Fringes Ratio Worksheet]</t>
  </si>
  <si>
    <t>Benefits</t>
  </si>
  <si>
    <t>Pension</t>
  </si>
  <si>
    <t>Pension Obligations</t>
  </si>
  <si>
    <t>Total</t>
  </si>
  <si>
    <t>Benefits (Line 12 x Line 13)</t>
  </si>
  <si>
    <t>City Finance - Benefits</t>
  </si>
  <si>
    <t>Pension (Line 12 x Line 14)</t>
  </si>
  <si>
    <t>City Finance - Pension</t>
  </si>
  <si>
    <t>Pension Obligations (Line 12 x Line 15)</t>
  </si>
  <si>
    <t>City Finance - Pension Obligations</t>
  </si>
  <si>
    <t>Total Inter Dept Adjustments</t>
  </si>
  <si>
    <t>Total Adjustments</t>
  </si>
  <si>
    <t>Notes:</t>
  </si>
  <si>
    <t xml:space="preserve">PWD (Dept 28) Subtotal </t>
  </si>
  <si>
    <t>OD Subtotal</t>
  </si>
  <si>
    <t xml:space="preserve">Check </t>
  </si>
  <si>
    <t>O&amp;M Adjustment #8 - FY 2026 Additional Staffing Needs</t>
  </si>
  <si>
    <t>Cumulative Factor</t>
  </si>
  <si>
    <t>Staff Costs</t>
  </si>
  <si>
    <t>\</t>
  </si>
  <si>
    <t>WRB</t>
  </si>
  <si>
    <t>Rate Board</t>
  </si>
  <si>
    <t>Finance</t>
  </si>
  <si>
    <t xml:space="preserve">Operations </t>
  </si>
  <si>
    <t>Public Affairs</t>
  </si>
  <si>
    <t>Planning &amp; Environmental Services</t>
  </si>
  <si>
    <t>Additional Staffing (Inflated $)</t>
  </si>
  <si>
    <t>Revenue - Salaries &amp; Wages</t>
  </si>
  <si>
    <t>Philadelphia Water, Sewer and Stormwater Rate Board - Salaries &amp; Wages</t>
  </si>
  <si>
    <t>Finance - Salaries &amp; Wages</t>
  </si>
  <si>
    <t>Public Affairs - Salaries &amp; Wages</t>
  </si>
  <si>
    <t>Planning &amp; Environmental Services - Salaries &amp; Wages</t>
  </si>
  <si>
    <t>Total Inflated Costs</t>
  </si>
  <si>
    <t>xxxxxxxxxxxxxx</t>
  </si>
  <si>
    <t>Additional Staffing (2025 $)</t>
  </si>
  <si>
    <t>FY 2025</t>
  </si>
  <si>
    <t>Notes: PWD anticipates 35% of the salary associated with the 45 new positions to be added in FY 2026 and the remaining 65% to be added in FY 2027.</t>
  </si>
  <si>
    <t>Pension &amp; Fringes Ratios</t>
  </si>
  <si>
    <t xml:space="preserve">Line No. </t>
  </si>
  <si>
    <t>Class Code</t>
  </si>
  <si>
    <t>Description</t>
  </si>
  <si>
    <t>Projected Water Fund Class 100 Costs (Source:  Workpaper Financial Plan Model, Other Dept O&amp;M - 7)</t>
  </si>
  <si>
    <t>Salaries &amp; Wages</t>
  </si>
  <si>
    <t>1xx</t>
  </si>
  <si>
    <t>Water Fund Salary Ratios (Percentage of Salary)</t>
  </si>
  <si>
    <t>Benefits (Line 2 / Line 1)</t>
  </si>
  <si>
    <t>Pension (Line 3 / Line 1)</t>
  </si>
  <si>
    <t>Pension Obligations (Line 4 / Line 1)</t>
  </si>
  <si>
    <t>Water Fund Class 100 Distribution</t>
  </si>
  <si>
    <t>Salaries &amp; Wages (Line 1 / Line 5)</t>
  </si>
  <si>
    <t>Benefits (Line 2 / Line 5)</t>
  </si>
  <si>
    <t>Pension (Line 3 / Line 5)</t>
  </si>
  <si>
    <t>Pension Obligations (Line 4 / Line 5)</t>
  </si>
  <si>
    <t>CHECK</t>
  </si>
  <si>
    <t>Class 100</t>
  </si>
  <si>
    <t xml:space="preserve">Direct </t>
  </si>
  <si>
    <t>Other Departments</t>
  </si>
  <si>
    <t>Difference</t>
  </si>
  <si>
    <t>Projected Water Fund Pension &amp; Benefits Costs Including Adjustments for Staffing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</si>
</sst>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 val="singleAccounting"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1" fillId="0" borderId="0">
      <alignment horizontal="centerContinuous"/>
    </xf>
  </cellStyleXfs>
  <cellXfs count="91">
    <xf numFmtId="0" fontId="0" fillId="0" borderId="0" xfId="0"/>
    <xf numFmtId="164" fontId="0" fillId="0" borderId="0" xfId="1" applyNumberFormat="1" applyFont="1"/>
    <xf numFmtId="1" fontId="0" fillId="0" borderId="0" xfId="0" applyNumberFormat="1" applyAlignment="1">
      <alignment horizontal="center"/>
    </xf>
    <xf numFmtId="164" fontId="1" fillId="2" borderId="0" xfId="1" applyNumberFormat="1" applyFont="1" applyFill="1" applyAlignment="1">
      <alignment horizontal="right"/>
    </xf>
    <xf numFmtId="42" fontId="2" fillId="3" borderId="1" xfId="1" applyNumberFormat="1" applyFont="1" applyFill="1" applyBorder="1" applyAlignment="1">
      <alignment vertical="center"/>
    </xf>
    <xf numFmtId="0" fontId="2" fillId="3" borderId="0" xfId="0" applyFont="1" applyFill="1"/>
    <xf numFmtId="0" fontId="0" fillId="2" borderId="0" xfId="0" applyFill="1" applyAlignment="1">
      <alignment horizontal="left" indent="1"/>
    </xf>
    <xf numFmtId="1" fontId="0" fillId="2" borderId="0" xfId="0" applyNumberFormat="1" applyFill="1" applyAlignment="1">
      <alignment horizontal="center" vertical="center"/>
    </xf>
    <xf numFmtId="164" fontId="2" fillId="3" borderId="1" xfId="1" applyNumberFormat="1" applyFont="1" applyFill="1" applyBorder="1" applyAlignment="1">
      <alignment vertical="center"/>
    </xf>
    <xf numFmtId="37" fontId="3" fillId="3" borderId="1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center" vertical="center"/>
    </xf>
    <xf numFmtId="10" fontId="0" fillId="3" borderId="0" xfId="2" applyNumberFormat="1" applyFont="1" applyFill="1" applyBorder="1" applyAlignment="1">
      <alignment vertical="center"/>
    </xf>
    <xf numFmtId="10" fontId="0" fillId="2" borderId="1" xfId="2" applyNumberFormat="1" applyFont="1" applyFill="1" applyBorder="1" applyAlignment="1">
      <alignment vertical="center"/>
    </xf>
    <xf numFmtId="10" fontId="5" fillId="4" borderId="0" xfId="2" applyNumberFormat="1" applyFont="1" applyFill="1"/>
    <xf numFmtId="164" fontId="0" fillId="0" borderId="0" xfId="0" applyNumberFormat="1"/>
    <xf numFmtId="37" fontId="7" fillId="5" borderId="1" xfId="4" applyNumberFormat="1" applyFont="1" applyFill="1" applyBorder="1" applyAlignment="1">
      <alignment vertical="center"/>
    </xf>
    <xf numFmtId="37" fontId="7" fillId="5" borderId="1" xfId="4" applyNumberFormat="1" applyFont="1" applyFill="1" applyBorder="1" applyAlignment="1">
      <alignment horizontal="center" vertical="center"/>
    </xf>
    <xf numFmtId="37" fontId="7" fillId="5" borderId="2" xfId="4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10" fontId="0" fillId="3" borderId="0" xfId="2" applyNumberFormat="1" applyFont="1" applyFill="1"/>
    <xf numFmtId="0" fontId="0" fillId="3" borderId="0" xfId="0" applyFill="1" applyAlignment="1">
      <alignment horizontal="center" vertical="center"/>
    </xf>
    <xf numFmtId="42" fontId="0" fillId="0" borderId="0" xfId="0" applyNumberFormat="1"/>
    <xf numFmtId="41" fontId="0" fillId="0" borderId="0" xfId="0" applyNumberFormat="1"/>
    <xf numFmtId="164" fontId="0" fillId="2" borderId="0" xfId="2" applyNumberFormat="1" applyFont="1" applyFill="1"/>
    <xf numFmtId="0" fontId="0" fillId="2" borderId="0" xfId="0" applyFill="1"/>
    <xf numFmtId="164" fontId="0" fillId="3" borderId="0" xfId="2" applyNumberFormat="1" applyFont="1" applyFill="1"/>
    <xf numFmtId="10" fontId="0" fillId="3" borderId="0" xfId="0" applyNumberFormat="1" applyFill="1"/>
    <xf numFmtId="10" fontId="0" fillId="2" borderId="0" xfId="2" applyNumberFormat="1" applyFont="1" applyFill="1"/>
    <xf numFmtId="0" fontId="8" fillId="5" borderId="0" xfId="0" applyFont="1" applyFill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0" fontId="5" fillId="4" borderId="0" xfId="2" applyNumberFormat="1" applyFont="1" applyFill="1" applyAlignment="1">
      <alignment horizontal="left"/>
    </xf>
    <xf numFmtId="164" fontId="0" fillId="3" borderId="0" xfId="0" applyNumberFormat="1" applyFill="1"/>
    <xf numFmtId="164" fontId="5" fillId="4" borderId="0" xfId="0" applyNumberFormat="1" applyFont="1" applyFill="1"/>
    <xf numFmtId="37" fontId="4" fillId="2" borderId="1" xfId="0" applyNumberFormat="1" applyFont="1" applyFill="1" applyBorder="1" applyAlignment="1">
      <alignment vertical="center"/>
    </xf>
    <xf numFmtId="44" fontId="0" fillId="3" borderId="0" xfId="0" applyNumberFormat="1" applyFill="1"/>
    <xf numFmtId="164" fontId="0" fillId="2" borderId="0" xfId="0" applyNumberFormat="1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37" fontId="4" fillId="3" borderId="1" xfId="0" applyNumberFormat="1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64" fontId="8" fillId="7" borderId="0" xfId="1" applyNumberFormat="1" applyFont="1" applyFill="1" applyBorder="1" applyAlignment="1">
      <alignment horizontal="left" vertical="center"/>
    </xf>
    <xf numFmtId="1" fontId="8" fillId="7" borderId="3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0" fillId="0" borderId="0" xfId="0" applyFont="1"/>
    <xf numFmtId="0" fontId="12" fillId="9" borderId="0" xfId="5" applyFont="1" applyFill="1">
      <alignment horizontal="centerContinuous"/>
    </xf>
    <xf numFmtId="0" fontId="12" fillId="9" borderId="4" xfId="5" applyFont="1" applyFill="1" applyBorder="1">
      <alignment horizontal="centerContinuous"/>
    </xf>
    <xf numFmtId="164" fontId="2" fillId="0" borderId="0" xfId="0" applyNumberFormat="1" applyFont="1" applyAlignment="1">
      <alignment vertical="center"/>
    </xf>
    <xf numFmtId="10" fontId="5" fillId="0" borderId="0" xfId="2" applyNumberFormat="1" applyFont="1" applyFill="1"/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/>
    <xf numFmtId="44" fontId="8" fillId="5" borderId="0" xfId="0" applyNumberFormat="1" applyFont="1" applyFill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0" fontId="2" fillId="0" borderId="0" xfId="0" applyFont="1"/>
    <xf numFmtId="164" fontId="2" fillId="2" borderId="0" xfId="0" applyNumberFormat="1" applyFont="1" applyFill="1"/>
    <xf numFmtId="0" fontId="0" fillId="2" borderId="0" xfId="0" applyFill="1" applyAlignment="1">
      <alignment vertical="center"/>
    </xf>
    <xf numFmtId="41" fontId="5" fillId="4" borderId="0" xfId="0" applyNumberFormat="1" applyFont="1" applyFill="1"/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37" fontId="3" fillId="3" borderId="1" xfId="0" applyNumberFormat="1" applyFont="1" applyFill="1" applyBorder="1" applyAlignment="1">
      <alignment horizontal="center" vertical="center"/>
    </xf>
    <xf numFmtId="37" fontId="3" fillId="3" borderId="1" xfId="0" applyNumberFormat="1" applyFont="1" applyFill="1" applyBorder="1" applyAlignment="1">
      <alignment vertical="center"/>
    </xf>
    <xf numFmtId="37" fontId="3" fillId="3" borderId="2" xfId="0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/>
    </xf>
    <xf numFmtId="37" fontId="4" fillId="10" borderId="1" xfId="0" applyNumberFormat="1" applyFont="1" applyFill="1" applyBorder="1" applyAlignment="1">
      <alignment horizontal="center" vertical="center"/>
    </xf>
    <xf numFmtId="37" fontId="4" fillId="10" borderId="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7" fontId="4" fillId="3" borderId="1" xfId="0" applyNumberFormat="1" applyFont="1" applyFill="1" applyBorder="1" applyAlignment="1">
      <alignment horizontal="center" vertical="center"/>
    </xf>
    <xf numFmtId="37" fontId="4" fillId="3" borderId="1" xfId="0" applyNumberFormat="1" applyFont="1" applyFill="1" applyBorder="1" applyAlignment="1">
      <alignment vertical="center"/>
    </xf>
    <xf numFmtId="37" fontId="4" fillId="3" borderId="2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Continuous" vertical="center"/>
    </xf>
    <xf numFmtId="0" fontId="9" fillId="8" borderId="5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10" fontId="0" fillId="3" borderId="1" xfId="2" applyNumberFormat="1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37" fontId="0" fillId="2" borderId="0" xfId="0" applyNumberFormat="1" applyFill="1" applyAlignment="1">
      <alignment horizontal="center" vertical="center"/>
    </xf>
    <xf numFmtId="10" fontId="0" fillId="3" borderId="0" xfId="2" applyNumberFormat="1" applyFont="1" applyFill="1" applyAlignment="1">
      <alignment vertical="center"/>
    </xf>
    <xf numFmtId="37" fontId="0" fillId="3" borderId="0" xfId="0" applyNumberForma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7" fontId="4" fillId="2" borderId="1" xfId="0" applyNumberFormat="1" applyFont="1" applyFill="1" applyBorder="1" applyAlignment="1">
      <alignment horizontal="left" vertical="center"/>
    </xf>
    <xf numFmtId="0" fontId="12" fillId="9" borderId="0" xfId="5" applyFont="1" applyFill="1" applyAlignment="1">
      <alignment horizontal="centerContinuous" vertical="center"/>
    </xf>
    <xf numFmtId="0" fontId="12" fillId="9" borderId="4" xfId="5" applyFont="1" applyFill="1" applyBorder="1" applyAlignment="1">
      <alignment horizontal="centerContinuous" vertical="center"/>
    </xf>
  </cellXfs>
  <cellStyles count="6">
    <cellStyle name="Currency" xfId="1" builtinId="4"/>
    <cellStyle name="Normal" xfId="0" builtinId="0"/>
    <cellStyle name="Normal 382" xfId="4" xr:uid="{1DEC3B1E-7966-4ABF-B934-69BF69201B37}"/>
    <cellStyle name="Percent" xfId="2" builtinId="5"/>
    <cellStyle name="Percent 11" xfId="3" xr:uid="{4C36E822-A1CF-44E9-A24F-E79644C27DBE}"/>
    <cellStyle name="Titles" xfId="5" xr:uid="{8030F4A3-9A68-47D0-A061-F2A0C1A06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9850-B136-4B75-B356-D3D68B2FF349}">
  <dimension ref="A1:S77"/>
  <sheetViews>
    <sheetView showGridLines="0" zoomScaleNormal="100" workbookViewId="0">
      <pane xSplit="2" ySplit="3" topLeftCell="C4" activePane="bottomRight" state="frozen"/>
      <selection pane="topRight" activeCell="I22" sqref="I22"/>
      <selection pane="bottomLeft" activeCell="I22" sqref="I22"/>
      <selection pane="bottomRight" activeCell="M26" sqref="M26"/>
    </sheetView>
  </sheetViews>
  <sheetFormatPr defaultColWidth="8.7109375" defaultRowHeight="15" x14ac:dyDescent="0.25"/>
  <cols>
    <col min="1" max="1" width="10.5703125" customWidth="1"/>
    <col min="2" max="2" width="30.5703125" customWidth="1"/>
    <col min="3" max="10" width="12.5703125" customWidth="1"/>
    <col min="11" max="11" width="38.28515625" bestFit="1" customWidth="1"/>
    <col min="12" max="13" width="12.5703125" customWidth="1"/>
    <col min="14" max="16" width="11.7109375" bestFit="1" customWidth="1"/>
    <col min="17" max="19" width="11.85546875" customWidth="1"/>
  </cols>
  <sheetData>
    <row r="1" spans="1:19" ht="19.5" thickTop="1" x14ac:dyDescent="0.3">
      <c r="A1" s="52" t="s">
        <v>0</v>
      </c>
      <c r="B1" s="52"/>
      <c r="C1" s="52"/>
      <c r="D1" s="52"/>
      <c r="E1" s="52"/>
      <c r="F1" s="51"/>
      <c r="G1" s="51"/>
      <c r="H1" s="51"/>
      <c r="J1" s="51" t="s">
        <v>1</v>
      </c>
      <c r="K1" s="51"/>
      <c r="L1" s="51"/>
      <c r="N1" s="51" t="s">
        <v>2</v>
      </c>
      <c r="O1" s="51"/>
      <c r="P1" s="51"/>
      <c r="Q1" s="51"/>
      <c r="R1" s="51"/>
      <c r="S1" s="51"/>
    </row>
    <row r="2" spans="1:19" ht="15.75" thickBot="1" x14ac:dyDescent="0.3">
      <c r="B2" s="50"/>
      <c r="M2" t="s">
        <v>3</v>
      </c>
    </row>
    <row r="3" spans="1:19" ht="18" thickTop="1" x14ac:dyDescent="0.4">
      <c r="A3" s="49" t="s">
        <v>4</v>
      </c>
      <c r="B3" s="48" t="s">
        <v>5</v>
      </c>
      <c r="C3" s="48">
        <v>2025</v>
      </c>
      <c r="D3" s="48">
        <f>+C3+1</f>
        <v>2026</v>
      </c>
      <c r="E3" s="48">
        <f>+D3+1</f>
        <v>2027</v>
      </c>
      <c r="F3" s="48">
        <f>+E3+1</f>
        <v>2028</v>
      </c>
      <c r="G3" s="48">
        <f>+F3+1</f>
        <v>2029</v>
      </c>
      <c r="H3" s="48">
        <f>+G3+1</f>
        <v>2030</v>
      </c>
      <c r="J3" t="s">
        <v>6</v>
      </c>
      <c r="M3" t="s">
        <v>7</v>
      </c>
      <c r="N3" s="48">
        <v>2025</v>
      </c>
      <c r="O3" s="48">
        <f>+N3+1</f>
        <v>2026</v>
      </c>
      <c r="P3" s="48">
        <f>+O3+1</f>
        <v>2027</v>
      </c>
      <c r="Q3" s="48">
        <f>+P3+1</f>
        <v>2028</v>
      </c>
      <c r="R3" s="48">
        <f>+Q3+1</f>
        <v>2029</v>
      </c>
      <c r="S3" s="48">
        <f>+R3+1</f>
        <v>2030</v>
      </c>
    </row>
    <row r="4" spans="1:19" ht="15.75" x14ac:dyDescent="0.25">
      <c r="A4" s="47"/>
      <c r="B4" s="45" t="s">
        <v>8</v>
      </c>
      <c r="C4" s="46"/>
      <c r="D4" s="46"/>
      <c r="E4" s="45"/>
      <c r="F4" s="45"/>
      <c r="G4" s="45"/>
      <c r="H4" s="45"/>
    </row>
    <row r="5" spans="1:19" ht="15.75" x14ac:dyDescent="0.25">
      <c r="A5" s="32"/>
      <c r="B5" s="31" t="s">
        <v>9</v>
      </c>
      <c r="C5" s="31"/>
      <c r="D5" s="31"/>
      <c r="E5" s="31"/>
      <c r="F5" s="31"/>
      <c r="G5" s="31"/>
      <c r="H5" s="31"/>
    </row>
    <row r="6" spans="1:19" x14ac:dyDescent="0.25">
      <c r="A6" s="44">
        <v>1</v>
      </c>
      <c r="B6" s="43" t="s">
        <v>10</v>
      </c>
      <c r="C6" s="13">
        <v>0</v>
      </c>
      <c r="D6" s="13">
        <v>0.05</v>
      </c>
      <c r="E6" s="13">
        <v>3.5000000000000003E-2</v>
      </c>
      <c r="F6" s="13">
        <v>3.5000000000000003E-2</v>
      </c>
      <c r="G6" s="13">
        <v>3.5000000000000003E-2</v>
      </c>
      <c r="H6" s="13">
        <v>3.5000000000000003E-2</v>
      </c>
      <c r="J6" s="35" t="s">
        <v>11</v>
      </c>
    </row>
    <row r="7" spans="1:19" x14ac:dyDescent="0.25">
      <c r="A7" s="41">
        <f>MAX(A$6:A6)+1</f>
        <v>2</v>
      </c>
      <c r="B7" s="21" t="s">
        <v>12</v>
      </c>
      <c r="C7" s="11"/>
      <c r="D7" s="11">
        <f>+((1+C7)*(1+D$6))-1</f>
        <v>5.0000000000000044E-2</v>
      </c>
      <c r="E7" s="11">
        <f>+((1+D7)*(1+E$6))-1</f>
        <v>8.6749999999999883E-2</v>
      </c>
      <c r="F7" s="11">
        <f>+((1+E7)*(1+F$6))-1</f>
        <v>0.12478624999999988</v>
      </c>
      <c r="G7" s="11">
        <f>+((1+F7)*(1+G$6))-1</f>
        <v>0.16415376874999987</v>
      </c>
      <c r="H7" s="11">
        <f>+((1+G7)*(1+H$6))-1</f>
        <v>0.20489915065624986</v>
      </c>
    </row>
    <row r="8" spans="1:19" ht="15.75" x14ac:dyDescent="0.25">
      <c r="A8" s="32"/>
      <c r="B8" s="31" t="s">
        <v>13</v>
      </c>
      <c r="C8" s="31"/>
      <c r="D8" s="31"/>
      <c r="E8" s="31"/>
      <c r="F8" s="31"/>
      <c r="G8" s="31"/>
      <c r="H8" s="31"/>
    </row>
    <row r="9" spans="1:19" x14ac:dyDescent="0.25">
      <c r="A9" s="23"/>
      <c r="B9" s="21" t="s">
        <v>14</v>
      </c>
      <c r="C9" s="39"/>
      <c r="D9" s="39"/>
      <c r="E9" s="22"/>
      <c r="F9" s="22"/>
      <c r="G9" s="22"/>
      <c r="H9" s="22"/>
    </row>
    <row r="10" spans="1:19" x14ac:dyDescent="0.25">
      <c r="A10" s="23">
        <f>MAX(A$6:A9)+1</f>
        <v>3</v>
      </c>
      <c r="B10" s="21" t="s">
        <v>15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</row>
    <row r="11" spans="1:19" x14ac:dyDescent="0.25">
      <c r="A11" s="20">
        <f>MAX(A$6:A10)+1</f>
        <v>4</v>
      </c>
      <c r="B11" s="38" t="s">
        <v>16</v>
      </c>
      <c r="C11" s="37">
        <v>0</v>
      </c>
      <c r="D11" s="37">
        <v>0</v>
      </c>
      <c r="E11" s="37">
        <v>0</v>
      </c>
      <c r="F11" s="37">
        <v>77224</v>
      </c>
      <c r="G11" s="37">
        <v>220640</v>
      </c>
      <c r="H11" s="37">
        <v>220640</v>
      </c>
      <c r="I11" s="14"/>
      <c r="J11" s="14" t="s">
        <v>17</v>
      </c>
      <c r="K11" t="s">
        <v>18</v>
      </c>
    </row>
    <row r="12" spans="1:19" x14ac:dyDescent="0.25">
      <c r="A12" s="23">
        <f>MAX(A$6:A11)+1</f>
        <v>5</v>
      </c>
      <c r="B12" s="21" t="s">
        <v>19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14"/>
    </row>
    <row r="13" spans="1:19" x14ac:dyDescent="0.25">
      <c r="A13" s="20">
        <f>MAX(A$6:A12)+1</f>
        <v>6</v>
      </c>
      <c r="B13" s="38" t="s">
        <v>20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101878</v>
      </c>
      <c r="I13" s="14"/>
    </row>
    <row r="14" spans="1:19" x14ac:dyDescent="0.25">
      <c r="A14" s="23">
        <f>MAX(A$6:A13)+1</f>
        <v>7</v>
      </c>
      <c r="B14" s="21" t="s">
        <v>21</v>
      </c>
      <c r="C14" s="36">
        <f t="shared" ref="C14:H14" si="0">SUM(C10:C13)</f>
        <v>0</v>
      </c>
      <c r="D14" s="36">
        <f t="shared" si="0"/>
        <v>0</v>
      </c>
      <c r="E14" s="36">
        <f t="shared" si="0"/>
        <v>0</v>
      </c>
      <c r="F14" s="36">
        <f t="shared" si="0"/>
        <v>77224</v>
      </c>
      <c r="G14" s="36">
        <f t="shared" si="0"/>
        <v>220640</v>
      </c>
      <c r="H14" s="36">
        <f t="shared" si="0"/>
        <v>322518</v>
      </c>
    </row>
    <row r="15" spans="1:19" x14ac:dyDescent="0.25">
      <c r="A15" s="23"/>
      <c r="B15" s="21"/>
      <c r="C15" s="21"/>
      <c r="D15" s="21"/>
      <c r="E15" s="22"/>
      <c r="F15" s="22"/>
      <c r="G15" s="22"/>
      <c r="H15" s="22"/>
    </row>
    <row r="16" spans="1:19" x14ac:dyDescent="0.25">
      <c r="A16" s="34">
        <f>MAX(A$6:A15)+1</f>
        <v>8</v>
      </c>
      <c r="B16" s="19" t="s">
        <v>22</v>
      </c>
      <c r="C16" s="18">
        <f t="shared" ref="C16:H16" si="1">+C14*(1+C$7)</f>
        <v>0</v>
      </c>
      <c r="D16" s="18">
        <f t="shared" si="1"/>
        <v>0</v>
      </c>
      <c r="E16" s="18">
        <f t="shared" si="1"/>
        <v>0</v>
      </c>
      <c r="F16" s="18">
        <f t="shared" si="1"/>
        <v>86860.493369999997</v>
      </c>
      <c r="G16" s="18">
        <f t="shared" si="1"/>
        <v>256858.88753699997</v>
      </c>
      <c r="H16" s="18">
        <f t="shared" si="1"/>
        <v>388601.66427135241</v>
      </c>
      <c r="K16" s="35" t="s">
        <v>23</v>
      </c>
      <c r="M16" s="13">
        <v>0.95239917402446805</v>
      </c>
      <c r="N16" s="24">
        <f t="shared" ref="N16:S16" si="2">+C16*$M16</f>
        <v>0</v>
      </c>
      <c r="O16" s="24">
        <f t="shared" si="2"/>
        <v>0</v>
      </c>
      <c r="P16" s="24">
        <f t="shared" si="2"/>
        <v>0</v>
      </c>
      <c r="Q16" s="24">
        <f t="shared" si="2"/>
        <v>82725.862140945785</v>
      </c>
      <c r="R16" s="24">
        <f t="shared" si="2"/>
        <v>244632.19233108251</v>
      </c>
      <c r="S16" s="24">
        <f t="shared" si="2"/>
        <v>370103.90407656966</v>
      </c>
    </row>
    <row r="17" spans="1:19" x14ac:dyDescent="0.25">
      <c r="A17" s="23"/>
      <c r="B17" s="21"/>
      <c r="C17" s="21"/>
      <c r="D17" s="21"/>
      <c r="E17" s="22"/>
      <c r="F17" s="22"/>
      <c r="G17" s="22"/>
      <c r="H17" s="22"/>
    </row>
    <row r="18" spans="1:19" x14ac:dyDescent="0.25">
      <c r="A18" s="34">
        <f>MAX(A$6:A17)+1</f>
        <v>9</v>
      </c>
      <c r="B18" s="33" t="s">
        <v>24</v>
      </c>
      <c r="C18" s="18">
        <f>+C16</f>
        <v>0</v>
      </c>
      <c r="D18" s="18">
        <f t="shared" ref="D18:H18" si="3">+D16</f>
        <v>0</v>
      </c>
      <c r="E18" s="18">
        <f t="shared" si="3"/>
        <v>0</v>
      </c>
      <c r="F18" s="18">
        <f t="shared" si="3"/>
        <v>86860.493369999997</v>
      </c>
      <c r="G18" s="18">
        <f t="shared" si="3"/>
        <v>256858.88753699997</v>
      </c>
      <c r="H18" s="18">
        <f t="shared" si="3"/>
        <v>388601.66427135241</v>
      </c>
      <c r="N18" s="18">
        <f t="shared" ref="N18:S18" si="4">+N16</f>
        <v>0</v>
      </c>
      <c r="O18" s="18">
        <f t="shared" si="4"/>
        <v>0</v>
      </c>
      <c r="P18" s="18">
        <f t="shared" si="4"/>
        <v>0</v>
      </c>
      <c r="Q18" s="18">
        <f t="shared" si="4"/>
        <v>82725.862140945785</v>
      </c>
      <c r="R18" s="18">
        <f t="shared" si="4"/>
        <v>244632.19233108251</v>
      </c>
      <c r="S18" s="18">
        <f t="shared" si="4"/>
        <v>370103.90407656966</v>
      </c>
    </row>
    <row r="19" spans="1:19" x14ac:dyDescent="0.25">
      <c r="A19" s="23"/>
      <c r="B19" s="21"/>
      <c r="C19" s="21"/>
      <c r="D19" s="21"/>
      <c r="E19" s="22"/>
      <c r="F19" s="22"/>
      <c r="G19" s="22"/>
      <c r="H19" s="22"/>
    </row>
    <row r="20" spans="1:19" ht="15.75" x14ac:dyDescent="0.25">
      <c r="A20" s="32"/>
      <c r="B20" s="31" t="s">
        <v>25</v>
      </c>
      <c r="C20" s="31"/>
      <c r="D20" s="31"/>
      <c r="E20" s="31"/>
      <c r="F20" s="31"/>
      <c r="G20" s="31"/>
      <c r="H20" s="31"/>
    </row>
    <row r="21" spans="1:19" ht="15.75" x14ac:dyDescent="0.25">
      <c r="A21" s="32"/>
      <c r="B21" s="31" t="s">
        <v>26</v>
      </c>
      <c r="C21" s="31"/>
      <c r="D21" s="31"/>
      <c r="E21" s="31"/>
      <c r="F21" s="31"/>
      <c r="G21" s="31"/>
      <c r="H21" s="31"/>
    </row>
    <row r="22" spans="1:19" x14ac:dyDescent="0.25">
      <c r="A22" s="20">
        <f>MAX(A$6:A21)+1</f>
        <v>10</v>
      </c>
      <c r="B22" s="27" t="s">
        <v>27</v>
      </c>
      <c r="C22" s="30">
        <f>+'Pension &amp; Fringes Ratio'!E12</f>
        <v>0.43116127604766247</v>
      </c>
      <c r="D22" s="30">
        <f>+'Pension &amp; Fringes Ratio'!F12</f>
        <v>0.42910812711410212</v>
      </c>
      <c r="E22" s="30">
        <f>+'Pension &amp; Fringes Ratio'!G12</f>
        <v>0.4274497382170428</v>
      </c>
      <c r="F22" s="30">
        <f>+'Pension &amp; Fringes Ratio'!H12</f>
        <v>0.43327296653478231</v>
      </c>
      <c r="G22" s="30">
        <f>+'Pension &amp; Fringes Ratio'!I12</f>
        <v>0.43917552578902419</v>
      </c>
      <c r="H22" s="30">
        <f>+'Pension &amp; Fringes Ratio'!J12</f>
        <v>0.44278228131482777</v>
      </c>
    </row>
    <row r="23" spans="1:19" x14ac:dyDescent="0.25">
      <c r="A23" s="23">
        <f>MAX(A$6:A22)+1</f>
        <v>11</v>
      </c>
      <c r="B23" s="21" t="s">
        <v>28</v>
      </c>
      <c r="C23" s="22">
        <f>+'Pension &amp; Fringes Ratio'!E13</f>
        <v>0.32297321114521454</v>
      </c>
      <c r="D23" s="22">
        <f>+'Pension &amp; Fringes Ratio'!F13</f>
        <v>0.31300718062987648</v>
      </c>
      <c r="E23" s="22">
        <f>+'Pension &amp; Fringes Ratio'!G13</f>
        <v>0.30242239674384203</v>
      </c>
      <c r="F23" s="22">
        <f>+'Pension &amp; Fringes Ratio'!H13</f>
        <v>0.29219555240950928</v>
      </c>
      <c r="G23" s="22">
        <f>+'Pension &amp; Fringes Ratio'!I13</f>
        <v>0.28231454339083017</v>
      </c>
      <c r="H23" s="22">
        <f>+'Pension &amp; Fringes Ratio'!J13</f>
        <v>0.27276767477374897</v>
      </c>
    </row>
    <row r="24" spans="1:19" x14ac:dyDescent="0.25">
      <c r="A24" s="20">
        <f>MAX(A$6:A23)+1</f>
        <v>12</v>
      </c>
      <c r="B24" s="27" t="s">
        <v>29</v>
      </c>
      <c r="C24" s="30">
        <f>+'Pension &amp; Fringes Ratio'!E14</f>
        <v>6.7370354151241443E-2</v>
      </c>
      <c r="D24" s="30">
        <f>+'Pension &amp; Fringes Ratio'!F14</f>
        <v>6.416224204880136E-2</v>
      </c>
      <c r="E24" s="30">
        <f>+'Pension &amp; Fringes Ratio'!G14</f>
        <v>6.2476166350071236E-2</v>
      </c>
      <c r="F24" s="30">
        <f>+'Pension &amp; Fringes Ratio'!H14</f>
        <v>6.0362771672245706E-2</v>
      </c>
      <c r="G24" s="30">
        <f>+'Pension &amp; Fringes Ratio'!I14</f>
        <v>5.832086724942772E-2</v>
      </c>
      <c r="H24" s="30">
        <f>+'Pension &amp; Fringes Ratio'!J14</f>
        <v>5.6348034765429288E-2</v>
      </c>
    </row>
    <row r="25" spans="1:19" x14ac:dyDescent="0.25">
      <c r="A25" s="23">
        <f>MAX(A$6:A24)+1</f>
        <v>13</v>
      </c>
      <c r="B25" s="21" t="s">
        <v>30</v>
      </c>
      <c r="C25" s="29">
        <f t="shared" ref="C25:H25" si="5">SUM(C22:C24)</f>
        <v>0.8215048413441185</v>
      </c>
      <c r="D25" s="29">
        <f t="shared" si="5"/>
        <v>0.80627754979277999</v>
      </c>
      <c r="E25" s="29">
        <f t="shared" si="5"/>
        <v>0.79234830131095602</v>
      </c>
      <c r="F25" s="29">
        <f t="shared" si="5"/>
        <v>0.78583129061653723</v>
      </c>
      <c r="G25" s="29">
        <f t="shared" si="5"/>
        <v>0.77981093642928212</v>
      </c>
      <c r="H25" s="29">
        <f t="shared" si="5"/>
        <v>0.77189799085400601</v>
      </c>
    </row>
    <row r="26" spans="1:19" x14ac:dyDescent="0.25">
      <c r="A26" s="20">
        <f>MAX(A$6:A25)+1</f>
        <v>14</v>
      </c>
      <c r="B26" s="27" t="s">
        <v>31</v>
      </c>
      <c r="C26" s="26">
        <f t="shared" ref="C26:H28" si="6">ROUND(+C$18*C22,-3)</f>
        <v>0</v>
      </c>
      <c r="D26" s="26">
        <f t="shared" si="6"/>
        <v>0</v>
      </c>
      <c r="E26" s="26">
        <f t="shared" si="6"/>
        <v>0</v>
      </c>
      <c r="F26" s="26">
        <f t="shared" si="6"/>
        <v>38000</v>
      </c>
      <c r="G26" s="26">
        <f t="shared" si="6"/>
        <v>113000</v>
      </c>
      <c r="H26" s="26">
        <f t="shared" si="6"/>
        <v>172000</v>
      </c>
      <c r="I26" s="14"/>
      <c r="J26" s="14"/>
      <c r="K26" t="s">
        <v>32</v>
      </c>
      <c r="L26" s="14"/>
      <c r="M26" s="13">
        <v>1</v>
      </c>
      <c r="N26" s="24">
        <f t="shared" ref="N26:S28" si="7">+C26*$M26</f>
        <v>0</v>
      </c>
      <c r="O26" s="24">
        <f t="shared" si="7"/>
        <v>0</v>
      </c>
      <c r="P26" s="24">
        <f t="shared" si="7"/>
        <v>0</v>
      </c>
      <c r="Q26" s="24">
        <f t="shared" si="7"/>
        <v>38000</v>
      </c>
      <c r="R26" s="24">
        <f t="shared" si="7"/>
        <v>113000</v>
      </c>
      <c r="S26" s="24">
        <f t="shared" si="7"/>
        <v>172000</v>
      </c>
    </row>
    <row r="27" spans="1:19" x14ac:dyDescent="0.25">
      <c r="A27" s="23">
        <f>MAX(A$6:A26)+1</f>
        <v>15</v>
      </c>
      <c r="B27" s="21" t="s">
        <v>33</v>
      </c>
      <c r="C27" s="28">
        <f t="shared" si="6"/>
        <v>0</v>
      </c>
      <c r="D27" s="28">
        <f t="shared" si="6"/>
        <v>0</v>
      </c>
      <c r="E27" s="28">
        <f t="shared" si="6"/>
        <v>0</v>
      </c>
      <c r="F27" s="28">
        <f t="shared" si="6"/>
        <v>25000</v>
      </c>
      <c r="G27" s="28">
        <f t="shared" si="6"/>
        <v>73000</v>
      </c>
      <c r="H27" s="28">
        <f t="shared" si="6"/>
        <v>106000</v>
      </c>
      <c r="I27" s="25"/>
      <c r="J27" s="25"/>
      <c r="K27" t="s">
        <v>34</v>
      </c>
      <c r="L27" s="25"/>
      <c r="M27" s="13">
        <v>1</v>
      </c>
      <c r="N27" s="24">
        <f t="shared" si="7"/>
        <v>0</v>
      </c>
      <c r="O27" s="24">
        <f t="shared" si="7"/>
        <v>0</v>
      </c>
      <c r="P27" s="24">
        <f t="shared" si="7"/>
        <v>0</v>
      </c>
      <c r="Q27" s="24">
        <f t="shared" si="7"/>
        <v>25000</v>
      </c>
      <c r="R27" s="24">
        <f t="shared" si="7"/>
        <v>73000</v>
      </c>
      <c r="S27" s="24">
        <f t="shared" si="7"/>
        <v>106000</v>
      </c>
    </row>
    <row r="28" spans="1:19" x14ac:dyDescent="0.25">
      <c r="A28" s="20">
        <f>MAX(A$6:A27)+1</f>
        <v>16</v>
      </c>
      <c r="B28" s="27" t="s">
        <v>35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5000</v>
      </c>
      <c r="G28" s="26">
        <f t="shared" si="6"/>
        <v>15000</v>
      </c>
      <c r="H28" s="26">
        <f t="shared" si="6"/>
        <v>22000</v>
      </c>
      <c r="I28" s="25"/>
      <c r="J28" s="25"/>
      <c r="K28" t="s">
        <v>36</v>
      </c>
      <c r="L28" s="25"/>
      <c r="M28" s="13">
        <v>1</v>
      </c>
      <c r="N28" s="24">
        <f t="shared" si="7"/>
        <v>0</v>
      </c>
      <c r="O28" s="24">
        <f t="shared" si="7"/>
        <v>0</v>
      </c>
      <c r="P28" s="24">
        <f t="shared" si="7"/>
        <v>0</v>
      </c>
      <c r="Q28" s="24">
        <f t="shared" si="7"/>
        <v>5000</v>
      </c>
      <c r="R28" s="24">
        <f t="shared" si="7"/>
        <v>15000</v>
      </c>
      <c r="S28" s="24">
        <f t="shared" si="7"/>
        <v>22000</v>
      </c>
    </row>
    <row r="29" spans="1:19" x14ac:dyDescent="0.25">
      <c r="A29" s="23"/>
      <c r="B29" s="21"/>
      <c r="C29" s="21"/>
      <c r="D29" s="21"/>
      <c r="E29" s="22"/>
      <c r="F29" s="22"/>
      <c r="G29" s="22"/>
      <c r="H29" s="22"/>
    </row>
    <row r="30" spans="1:19" x14ac:dyDescent="0.25">
      <c r="A30" s="20">
        <f>MAX(A$6:A29)+1</f>
        <v>17</v>
      </c>
      <c r="B30" s="19" t="s">
        <v>37</v>
      </c>
      <c r="C30" s="18">
        <f t="shared" ref="C30:H30" si="8">SUM(C26:C29)</f>
        <v>0</v>
      </c>
      <c r="D30" s="18">
        <f t="shared" si="8"/>
        <v>0</v>
      </c>
      <c r="E30" s="18">
        <f t="shared" si="8"/>
        <v>0</v>
      </c>
      <c r="F30" s="18">
        <f t="shared" si="8"/>
        <v>68000</v>
      </c>
      <c r="G30" s="18">
        <f t="shared" si="8"/>
        <v>201000</v>
      </c>
      <c r="H30" s="18">
        <f t="shared" si="8"/>
        <v>300000</v>
      </c>
      <c r="N30" s="18">
        <f t="shared" ref="N30:S30" si="9">SUM(N26:N29)</f>
        <v>0</v>
      </c>
      <c r="O30" s="18">
        <f t="shared" si="9"/>
        <v>0</v>
      </c>
      <c r="P30" s="18">
        <f t="shared" si="9"/>
        <v>0</v>
      </c>
      <c r="Q30" s="18">
        <f t="shared" si="9"/>
        <v>68000</v>
      </c>
      <c r="R30" s="18">
        <f t="shared" si="9"/>
        <v>201000</v>
      </c>
      <c r="S30" s="18">
        <f t="shared" si="9"/>
        <v>300000</v>
      </c>
    </row>
    <row r="31" spans="1:19" x14ac:dyDescent="0.25">
      <c r="A31" s="23"/>
      <c r="B31" s="21"/>
      <c r="C31" s="21"/>
      <c r="D31" s="21"/>
      <c r="E31" s="22"/>
      <c r="F31" s="22"/>
      <c r="G31" s="22"/>
      <c r="H31" s="22"/>
      <c r="N31" s="21"/>
      <c r="O31" s="21"/>
      <c r="P31" s="22"/>
      <c r="Q31" s="21"/>
      <c r="R31" s="21"/>
      <c r="S31" s="22"/>
    </row>
    <row r="32" spans="1:19" x14ac:dyDescent="0.25">
      <c r="A32" s="20">
        <f>MAX(A$6:A31)+1</f>
        <v>18</v>
      </c>
      <c r="B32" s="19" t="s">
        <v>38</v>
      </c>
      <c r="C32" s="18">
        <f t="shared" ref="C32:H32" si="10">+C30+C18</f>
        <v>0</v>
      </c>
      <c r="D32" s="18">
        <f t="shared" si="10"/>
        <v>0</v>
      </c>
      <c r="E32" s="18">
        <f t="shared" si="10"/>
        <v>0</v>
      </c>
      <c r="F32" s="18">
        <f t="shared" si="10"/>
        <v>154860.49336999998</v>
      </c>
      <c r="G32" s="18">
        <f t="shared" si="10"/>
        <v>457858.887537</v>
      </c>
      <c r="H32" s="18">
        <f t="shared" si="10"/>
        <v>688601.66427135235</v>
      </c>
      <c r="N32" s="18">
        <f t="shared" ref="N32:S32" si="11">+N30+N18</f>
        <v>0</v>
      </c>
      <c r="O32" s="18">
        <f t="shared" si="11"/>
        <v>0</v>
      </c>
      <c r="P32" s="18">
        <f t="shared" si="11"/>
        <v>0</v>
      </c>
      <c r="Q32" s="18">
        <f t="shared" si="11"/>
        <v>150725.8621409458</v>
      </c>
      <c r="R32" s="18">
        <f t="shared" si="11"/>
        <v>445632.19233108254</v>
      </c>
      <c r="S32" s="18">
        <f t="shared" si="11"/>
        <v>670103.90407656971</v>
      </c>
    </row>
    <row r="33" spans="1:8" x14ac:dyDescent="0.25">
      <c r="A33" s="17"/>
      <c r="B33" s="16"/>
      <c r="C33" s="15"/>
      <c r="D33" s="15"/>
      <c r="E33" s="15"/>
      <c r="F33" s="15"/>
      <c r="G33" s="15"/>
      <c r="H33" s="15"/>
    </row>
    <row r="34" spans="1:8" x14ac:dyDescent="0.25">
      <c r="A34" t="s">
        <v>39</v>
      </c>
    </row>
    <row r="39" spans="1:8" x14ac:dyDescent="0.25">
      <c r="C39" s="14"/>
      <c r="D39" s="14"/>
      <c r="E39" s="14"/>
      <c r="F39" s="14"/>
      <c r="G39" s="14"/>
      <c r="H39" s="14"/>
    </row>
    <row r="73" spans="1:19" x14ac:dyDescent="0.25">
      <c r="A73" s="7">
        <f>MAX(A$6:A72)+1</f>
        <v>19</v>
      </c>
      <c r="B73" s="6" t="s">
        <v>40</v>
      </c>
      <c r="C73" s="3">
        <f t="shared" ref="C73:H73" si="12">+C18</f>
        <v>0</v>
      </c>
      <c r="D73" s="3">
        <f t="shared" si="12"/>
        <v>0</v>
      </c>
      <c r="E73" s="3">
        <f t="shared" si="12"/>
        <v>0</v>
      </c>
      <c r="F73" s="3">
        <f t="shared" si="12"/>
        <v>86860.493369999997</v>
      </c>
      <c r="G73" s="3">
        <f t="shared" si="12"/>
        <v>256858.88753699997</v>
      </c>
      <c r="H73" s="3">
        <f t="shared" si="12"/>
        <v>388601.66427135241</v>
      </c>
      <c r="L73" s="5" t="str">
        <f>B73</f>
        <v xml:space="preserve">PWD (Dept 28) Subtotal </v>
      </c>
      <c r="M73" s="4"/>
      <c r="N73" s="3">
        <f t="shared" ref="N73:S73" si="13">+N18</f>
        <v>0</v>
      </c>
      <c r="O73" s="3">
        <f t="shared" si="13"/>
        <v>0</v>
      </c>
      <c r="P73" s="3">
        <f t="shared" si="13"/>
        <v>0</v>
      </c>
      <c r="Q73" s="3">
        <f t="shared" si="13"/>
        <v>82725.862140945785</v>
      </c>
      <c r="R73" s="3">
        <f t="shared" si="13"/>
        <v>244632.19233108251</v>
      </c>
      <c r="S73" s="3">
        <f t="shared" si="13"/>
        <v>370103.90407656966</v>
      </c>
    </row>
    <row r="74" spans="1:19" x14ac:dyDescent="0.25">
      <c r="A74" s="10"/>
      <c r="B74" s="9"/>
      <c r="C74" s="8"/>
      <c r="D74" s="8"/>
      <c r="E74" s="8"/>
      <c r="F74" s="8"/>
      <c r="G74" s="8"/>
      <c r="H74" s="8"/>
      <c r="N74" s="8"/>
      <c r="O74" s="8"/>
      <c r="P74" s="8"/>
      <c r="Q74" s="8"/>
      <c r="R74" s="8"/>
      <c r="S74" s="8"/>
    </row>
    <row r="75" spans="1:19" x14ac:dyDescent="0.25">
      <c r="A75" s="7">
        <f>MAX(A$6:A74)+1</f>
        <v>20</v>
      </c>
      <c r="B75" s="6" t="s">
        <v>41</v>
      </c>
      <c r="C75" s="3">
        <f t="shared" ref="C75:H75" si="14">+C30</f>
        <v>0</v>
      </c>
      <c r="D75" s="3">
        <f t="shared" si="14"/>
        <v>0</v>
      </c>
      <c r="E75" s="3">
        <f t="shared" si="14"/>
        <v>0</v>
      </c>
      <c r="F75" s="3">
        <f t="shared" si="14"/>
        <v>68000</v>
      </c>
      <c r="G75" s="3">
        <f t="shared" si="14"/>
        <v>201000</v>
      </c>
      <c r="H75" s="3">
        <f t="shared" si="14"/>
        <v>300000</v>
      </c>
      <c r="L75" s="5" t="str">
        <f>B75</f>
        <v>OD Subtotal</v>
      </c>
      <c r="M75" s="4"/>
      <c r="N75" s="3">
        <f t="shared" ref="N75:S75" si="15">+N30</f>
        <v>0</v>
      </c>
      <c r="O75" s="3">
        <f t="shared" si="15"/>
        <v>0</v>
      </c>
      <c r="P75" s="3">
        <f t="shared" si="15"/>
        <v>0</v>
      </c>
      <c r="Q75" s="3">
        <f t="shared" si="15"/>
        <v>68000</v>
      </c>
      <c r="R75" s="3">
        <f t="shared" si="15"/>
        <v>201000</v>
      </c>
      <c r="S75" s="3">
        <f t="shared" si="15"/>
        <v>300000</v>
      </c>
    </row>
    <row r="76" spans="1:19" x14ac:dyDescent="0.25">
      <c r="A76" s="2"/>
      <c r="C76" s="1"/>
      <c r="D76" s="1"/>
      <c r="E76" s="1"/>
      <c r="F76" s="1"/>
      <c r="G76" s="1"/>
      <c r="H76" s="1"/>
      <c r="N76" s="1"/>
      <c r="O76" s="1"/>
      <c r="P76" s="1"/>
      <c r="Q76" s="1"/>
      <c r="R76" s="1"/>
      <c r="S76" s="1"/>
    </row>
    <row r="77" spans="1:19" x14ac:dyDescent="0.25">
      <c r="A77" s="2"/>
      <c r="B77" t="s">
        <v>42</v>
      </c>
      <c r="C77" s="1">
        <f t="shared" ref="C77:H77" si="16">C32-C73-C75</f>
        <v>0</v>
      </c>
      <c r="D77" s="1">
        <f t="shared" si="16"/>
        <v>0</v>
      </c>
      <c r="E77" s="1">
        <f t="shared" si="16"/>
        <v>0</v>
      </c>
      <c r="F77" s="1">
        <f t="shared" si="16"/>
        <v>0</v>
      </c>
      <c r="G77" s="1">
        <f t="shared" si="16"/>
        <v>0</v>
      </c>
      <c r="H77" s="1">
        <f t="shared" si="16"/>
        <v>0</v>
      </c>
      <c r="L77" t="str">
        <f>B77</f>
        <v xml:space="preserve">Check </v>
      </c>
      <c r="N77" s="1">
        <f t="shared" ref="N77:S77" si="17">N32-N73-N75</f>
        <v>0</v>
      </c>
      <c r="O77" s="1">
        <f t="shared" si="17"/>
        <v>0</v>
      </c>
      <c r="P77" s="1">
        <f t="shared" si="17"/>
        <v>0</v>
      </c>
      <c r="Q77" s="1">
        <f t="shared" si="17"/>
        <v>0</v>
      </c>
      <c r="R77" s="1">
        <f t="shared" si="17"/>
        <v>0</v>
      </c>
      <c r="S77" s="1">
        <f t="shared" si="17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BC72-80EB-4947-8C14-0131783F78DF}">
  <dimension ref="A1:S107"/>
  <sheetViews>
    <sheetView showGridLines="0" tabSelected="1" workbookViewId="0">
      <pane xSplit="2" ySplit="3" topLeftCell="C4" activePane="bottomRight" state="frozen"/>
      <selection pane="topRight" activeCell="I22" sqref="I22"/>
      <selection pane="bottomLeft" activeCell="I22" sqref="I22"/>
      <selection pane="bottomRight"/>
    </sheetView>
  </sheetViews>
  <sheetFormatPr defaultColWidth="8.7109375" defaultRowHeight="15" x14ac:dyDescent="0.25"/>
  <cols>
    <col min="1" max="1" width="10.5703125" customWidth="1"/>
    <col min="2" max="2" width="30.5703125" customWidth="1"/>
    <col min="3" max="10" width="12.5703125" customWidth="1"/>
    <col min="11" max="11" width="29.85546875" customWidth="1"/>
    <col min="12" max="12" width="19.42578125" customWidth="1"/>
    <col min="14" max="14" width="12.5703125" customWidth="1"/>
    <col min="15" max="15" width="12.42578125" customWidth="1"/>
    <col min="16" max="16" width="13.140625" customWidth="1"/>
    <col min="17" max="19" width="12.5703125" customWidth="1"/>
  </cols>
  <sheetData>
    <row r="1" spans="1:19" ht="19.5" thickTop="1" x14ac:dyDescent="0.3">
      <c r="A1" s="52" t="s">
        <v>43</v>
      </c>
      <c r="B1" s="52"/>
      <c r="C1" s="52"/>
      <c r="D1" s="52"/>
      <c r="E1" s="52"/>
      <c r="F1" s="51"/>
      <c r="G1" s="51"/>
      <c r="H1" s="51"/>
      <c r="J1" s="51" t="s">
        <v>1</v>
      </c>
      <c r="K1" s="51"/>
      <c r="L1" s="51"/>
      <c r="N1" s="51" t="s">
        <v>2</v>
      </c>
      <c r="O1" s="51"/>
      <c r="P1" s="51"/>
      <c r="Q1" s="51"/>
      <c r="R1" s="51"/>
      <c r="S1" s="51"/>
    </row>
    <row r="2" spans="1:19" ht="15.75" thickBot="1" x14ac:dyDescent="0.3">
      <c r="B2" s="50"/>
      <c r="M2" t="s">
        <v>3</v>
      </c>
    </row>
    <row r="3" spans="1:19" ht="18" thickTop="1" x14ac:dyDescent="0.4">
      <c r="A3" s="49" t="s">
        <v>4</v>
      </c>
      <c r="B3" s="48" t="s">
        <v>5</v>
      </c>
      <c r="C3" s="48">
        <v>2025</v>
      </c>
      <c r="D3" s="48">
        <f>+C3+1</f>
        <v>2026</v>
      </c>
      <c r="E3" s="48">
        <f>+D3+1</f>
        <v>2027</v>
      </c>
      <c r="F3" s="48">
        <f>+E3+1</f>
        <v>2028</v>
      </c>
      <c r="G3" s="48">
        <f>+F3+1</f>
        <v>2029</v>
      </c>
      <c r="H3" s="48">
        <f>+G3+1</f>
        <v>2030</v>
      </c>
      <c r="J3" t="s">
        <v>6</v>
      </c>
      <c r="M3" t="s">
        <v>7</v>
      </c>
      <c r="N3" s="48">
        <v>2025</v>
      </c>
      <c r="O3" s="48">
        <f>+N3+1</f>
        <v>2026</v>
      </c>
      <c r="P3" s="48">
        <f>+O3+1</f>
        <v>2027</v>
      </c>
      <c r="Q3" s="48">
        <f>+P3+1</f>
        <v>2028</v>
      </c>
      <c r="R3" s="48">
        <f>+Q3+1</f>
        <v>2029</v>
      </c>
      <c r="S3" s="48">
        <f>+R3+1</f>
        <v>2030</v>
      </c>
    </row>
    <row r="4" spans="1:19" ht="15.75" x14ac:dyDescent="0.25">
      <c r="A4" s="47"/>
      <c r="B4" s="45" t="s">
        <v>8</v>
      </c>
      <c r="C4" s="46"/>
      <c r="D4" s="46"/>
      <c r="E4" s="45"/>
      <c r="F4" s="45"/>
      <c r="G4" s="45"/>
      <c r="H4" s="45"/>
    </row>
    <row r="5" spans="1:19" ht="15.75" x14ac:dyDescent="0.25">
      <c r="A5" s="32"/>
      <c r="B5" s="31" t="s">
        <v>9</v>
      </c>
      <c r="C5" s="31"/>
      <c r="D5" s="31"/>
      <c r="E5" s="31"/>
      <c r="F5" s="31"/>
      <c r="G5" s="31"/>
      <c r="H5" s="31"/>
    </row>
    <row r="6" spans="1:19" x14ac:dyDescent="0.25">
      <c r="A6" s="23">
        <v>1</v>
      </c>
      <c r="B6" s="43" t="s">
        <v>10</v>
      </c>
      <c r="C6" s="13">
        <v>0</v>
      </c>
      <c r="D6" s="13">
        <v>0</v>
      </c>
      <c r="E6" s="13">
        <v>3.5000000000000003E-2</v>
      </c>
      <c r="F6" s="13">
        <v>3.5000000000000003E-2</v>
      </c>
      <c r="G6" s="13">
        <v>3.5000000000000003E-2</v>
      </c>
      <c r="H6" s="13">
        <v>3.5000000000000003E-2</v>
      </c>
      <c r="J6" s="35" t="s">
        <v>11</v>
      </c>
    </row>
    <row r="7" spans="1:19" x14ac:dyDescent="0.25">
      <c r="A7" s="42">
        <f>MAX(A$6:A6)+1</f>
        <v>2</v>
      </c>
      <c r="B7" s="27" t="s">
        <v>44</v>
      </c>
      <c r="C7" s="12"/>
      <c r="D7" s="12"/>
      <c r="E7" s="12">
        <f>+E6</f>
        <v>3.5000000000000003E-2</v>
      </c>
      <c r="F7" s="12">
        <f>+((1+E7)*(1+F6))-1</f>
        <v>7.1224999999999872E-2</v>
      </c>
      <c r="G7" s="12">
        <f>+((1+F7)*(1+G6))-1</f>
        <v>0.10871787499999974</v>
      </c>
      <c r="H7" s="12">
        <f>+((1+G7)*(1+H6))-1</f>
        <v>0.14752300062499968</v>
      </c>
    </row>
    <row r="8" spans="1:19" ht="15.75" x14ac:dyDescent="0.25">
      <c r="A8" s="32"/>
      <c r="B8" s="31" t="s">
        <v>45</v>
      </c>
      <c r="C8" s="31"/>
      <c r="D8" s="31"/>
      <c r="E8" s="31" t="s">
        <v>46</v>
      </c>
      <c r="F8" s="31"/>
      <c r="G8" s="31"/>
      <c r="H8" s="31"/>
    </row>
    <row r="9" spans="1:19" x14ac:dyDescent="0.25">
      <c r="A9" s="23"/>
      <c r="B9" s="21" t="s">
        <v>14</v>
      </c>
      <c r="C9" s="39"/>
      <c r="D9" s="39"/>
      <c r="E9" s="22"/>
      <c r="F9" s="22"/>
      <c r="G9" s="22"/>
      <c r="H9" s="22"/>
    </row>
    <row r="10" spans="1:19" x14ac:dyDescent="0.25">
      <c r="A10" s="20">
        <f>MAX(A$6:A9)+1</f>
        <v>3</v>
      </c>
      <c r="B10" s="38" t="s">
        <v>47</v>
      </c>
      <c r="C10" s="37"/>
      <c r="D10" s="37">
        <f>+E10*0.35</f>
        <v>450089.5</v>
      </c>
      <c r="E10" s="37">
        <v>1285970</v>
      </c>
      <c r="F10" s="37">
        <f t="shared" ref="F10:H11" si="0">E10</f>
        <v>1285970</v>
      </c>
      <c r="G10" s="37">
        <f t="shared" si="0"/>
        <v>1285970</v>
      </c>
      <c r="H10" s="37">
        <f t="shared" si="0"/>
        <v>1285970</v>
      </c>
      <c r="I10" s="14"/>
      <c r="J10" s="14"/>
      <c r="K10" s="14"/>
    </row>
    <row r="11" spans="1:19" x14ac:dyDescent="0.25">
      <c r="A11" s="23">
        <f>MAX(A$6:A10)+1</f>
        <v>4</v>
      </c>
      <c r="B11" s="43" t="s">
        <v>48</v>
      </c>
      <c r="C11" s="62"/>
      <c r="D11" s="62">
        <v>120000</v>
      </c>
      <c r="E11" s="62">
        <v>120000</v>
      </c>
      <c r="F11" s="62">
        <f t="shared" si="0"/>
        <v>120000</v>
      </c>
      <c r="G11" s="62">
        <f t="shared" si="0"/>
        <v>120000</v>
      </c>
      <c r="H11" s="62">
        <f t="shared" si="0"/>
        <v>120000</v>
      </c>
      <c r="I11" s="14"/>
      <c r="J11" s="14"/>
      <c r="K11" s="14"/>
    </row>
    <row r="12" spans="1:19" x14ac:dyDescent="0.25">
      <c r="A12" s="20">
        <f>MAX(A$6:A11)+1</f>
        <v>5</v>
      </c>
      <c r="B12" s="38" t="s">
        <v>49</v>
      </c>
      <c r="C12" s="62"/>
      <c r="D12" s="37">
        <f>+E12*0.35</f>
        <v>35631.75</v>
      </c>
      <c r="E12" s="62">
        <v>101805</v>
      </c>
      <c r="F12" s="62">
        <v>101805</v>
      </c>
      <c r="G12" s="62">
        <v>101805</v>
      </c>
      <c r="H12" s="62">
        <v>101805</v>
      </c>
      <c r="I12" s="14"/>
      <c r="J12" s="14"/>
      <c r="K12" s="14"/>
    </row>
    <row r="13" spans="1:19" x14ac:dyDescent="0.25">
      <c r="A13" s="23">
        <f>MAX(A$6:A12)+1</f>
        <v>6</v>
      </c>
      <c r="B13" s="43" t="s">
        <v>50</v>
      </c>
      <c r="C13" s="62"/>
      <c r="D13" s="37">
        <f>+E13*0.35</f>
        <v>673431.14999999991</v>
      </c>
      <c r="E13" s="62">
        <v>1924089</v>
      </c>
      <c r="F13" s="62">
        <f t="shared" ref="F13:H15" si="1">E13</f>
        <v>1924089</v>
      </c>
      <c r="G13" s="62">
        <f t="shared" si="1"/>
        <v>1924089</v>
      </c>
      <c r="H13" s="62">
        <f t="shared" si="1"/>
        <v>1924089</v>
      </c>
      <c r="I13" s="14"/>
      <c r="J13" s="14"/>
      <c r="K13" s="14"/>
    </row>
    <row r="14" spans="1:19" x14ac:dyDescent="0.25">
      <c r="A14" s="20">
        <f>MAX(A$6:A13)+1</f>
        <v>7</v>
      </c>
      <c r="B14" s="61" t="s">
        <v>51</v>
      </c>
      <c r="C14" s="62"/>
      <c r="D14" s="62"/>
      <c r="E14" s="62">
        <v>0</v>
      </c>
      <c r="F14" s="62">
        <f t="shared" si="1"/>
        <v>0</v>
      </c>
      <c r="G14" s="62">
        <f t="shared" si="1"/>
        <v>0</v>
      </c>
      <c r="H14" s="62">
        <f t="shared" si="1"/>
        <v>0</v>
      </c>
      <c r="I14" s="14"/>
      <c r="J14" s="14"/>
      <c r="K14" s="14"/>
    </row>
    <row r="15" spans="1:19" x14ac:dyDescent="0.25">
      <c r="A15" s="23">
        <f>MAX(A$6:A14)+1</f>
        <v>8</v>
      </c>
      <c r="B15" s="21" t="s">
        <v>52</v>
      </c>
      <c r="C15" s="62"/>
      <c r="D15" s="37">
        <f>+E15*0.35</f>
        <v>406381.85</v>
      </c>
      <c r="E15" s="62">
        <v>1161091</v>
      </c>
      <c r="F15" s="62">
        <f t="shared" si="1"/>
        <v>1161091</v>
      </c>
      <c r="G15" s="62">
        <f t="shared" si="1"/>
        <v>1161091</v>
      </c>
      <c r="H15" s="62">
        <f t="shared" si="1"/>
        <v>1161091</v>
      </c>
      <c r="I15" s="14"/>
      <c r="J15" s="14"/>
      <c r="K15" s="14"/>
    </row>
    <row r="16" spans="1:19" x14ac:dyDescent="0.25">
      <c r="A16" s="20">
        <f>MAX(A$6:A15)+1</f>
        <v>9</v>
      </c>
      <c r="B16" s="27" t="s">
        <v>21</v>
      </c>
      <c r="C16" s="40">
        <f>SUM(C10:C10)</f>
        <v>0</v>
      </c>
      <c r="D16" s="40">
        <f>SUM(D10:D15)</f>
        <v>1685534.25</v>
      </c>
      <c r="E16" s="40">
        <f>SUM(E10:E15)</f>
        <v>4592955</v>
      </c>
      <c r="F16" s="40">
        <f>SUM(F10:F15)</f>
        <v>4592955</v>
      </c>
      <c r="G16" s="40">
        <f>SUM(G10:G15)</f>
        <v>4592955</v>
      </c>
      <c r="H16" s="40">
        <f>SUM(H10:H15)</f>
        <v>4592955</v>
      </c>
    </row>
    <row r="17" spans="1:19" x14ac:dyDescent="0.25">
      <c r="A17" s="23"/>
      <c r="B17" s="21" t="s">
        <v>53</v>
      </c>
      <c r="C17" s="36"/>
      <c r="D17" s="36"/>
      <c r="E17" s="36"/>
      <c r="F17" s="36"/>
      <c r="G17" s="36"/>
      <c r="H17" s="36"/>
    </row>
    <row r="18" spans="1:19" x14ac:dyDescent="0.25">
      <c r="A18" s="20">
        <f>MAX(A$6:A17)+1</f>
        <v>10</v>
      </c>
      <c r="B18" s="38" t="s">
        <v>47</v>
      </c>
      <c r="C18" s="40">
        <f t="shared" ref="C18:H23" si="2">+C10*(1+C$7)</f>
        <v>0</v>
      </c>
      <c r="D18" s="40">
        <f t="shared" si="2"/>
        <v>450089.5</v>
      </c>
      <c r="E18" s="40">
        <f t="shared" si="2"/>
        <v>1330978.95</v>
      </c>
      <c r="F18" s="40">
        <f t="shared" si="2"/>
        <v>1377563.2132499998</v>
      </c>
      <c r="G18" s="40">
        <f t="shared" si="2"/>
        <v>1425777.9257137496</v>
      </c>
      <c r="H18" s="40">
        <f t="shared" si="2"/>
        <v>1475680.153113731</v>
      </c>
      <c r="K18" s="35" t="s">
        <v>54</v>
      </c>
      <c r="M18" s="13">
        <v>0.88531776700788278</v>
      </c>
      <c r="N18" s="24">
        <f t="shared" ref="N18:S23" si="3">+C18*$M18</f>
        <v>0</v>
      </c>
      <c r="O18" s="24">
        <f t="shared" si="3"/>
        <v>398472.23109369446</v>
      </c>
      <c r="P18" s="24">
        <f t="shared" si="3"/>
        <v>1178339.3119484964</v>
      </c>
      <c r="Q18" s="24">
        <f t="shared" si="3"/>
        <v>1219581.1878666936</v>
      </c>
      <c r="R18" s="24">
        <f t="shared" si="3"/>
        <v>1262266.5294420277</v>
      </c>
      <c r="S18" s="24">
        <f t="shared" si="3"/>
        <v>1306445.8579724988</v>
      </c>
    </row>
    <row r="19" spans="1:19" x14ac:dyDescent="0.25">
      <c r="A19" s="23">
        <f>MAX(A$6:A18)+1</f>
        <v>11</v>
      </c>
      <c r="B19" s="43" t="s">
        <v>48</v>
      </c>
      <c r="C19" s="36">
        <f t="shared" si="2"/>
        <v>0</v>
      </c>
      <c r="D19" s="36">
        <f t="shared" si="2"/>
        <v>120000</v>
      </c>
      <c r="E19" s="36">
        <f t="shared" si="2"/>
        <v>124199.99999999999</v>
      </c>
      <c r="F19" s="36">
        <f t="shared" si="2"/>
        <v>128546.99999999999</v>
      </c>
      <c r="G19" s="36">
        <f t="shared" si="2"/>
        <v>133046.14499999996</v>
      </c>
      <c r="H19" s="36">
        <f t="shared" si="2"/>
        <v>137702.76007499997</v>
      </c>
      <c r="K19" s="35" t="s">
        <v>55</v>
      </c>
      <c r="M19" s="13">
        <v>0.9314709552197421</v>
      </c>
      <c r="N19" s="24">
        <f t="shared" si="3"/>
        <v>0</v>
      </c>
      <c r="O19" s="24">
        <f t="shared" si="3"/>
        <v>111776.51462636905</v>
      </c>
      <c r="P19" s="24">
        <f t="shared" si="3"/>
        <v>115688.69263829196</v>
      </c>
      <c r="Q19" s="24">
        <f t="shared" si="3"/>
        <v>119737.79688063217</v>
      </c>
      <c r="R19" s="24">
        <f t="shared" si="3"/>
        <v>123928.61977145428</v>
      </c>
      <c r="S19" s="24">
        <f t="shared" si="3"/>
        <v>128266.12146345519</v>
      </c>
    </row>
    <row r="20" spans="1:19" x14ac:dyDescent="0.25">
      <c r="A20" s="20">
        <f>MAX(A$6:A19)+1</f>
        <v>12</v>
      </c>
      <c r="B20" s="38" t="s">
        <v>49</v>
      </c>
      <c r="C20" s="40">
        <f t="shared" si="2"/>
        <v>0</v>
      </c>
      <c r="D20" s="40">
        <f t="shared" si="2"/>
        <v>35631.75</v>
      </c>
      <c r="E20" s="40">
        <f t="shared" si="2"/>
        <v>105368.17499999999</v>
      </c>
      <c r="F20" s="40">
        <f t="shared" si="2"/>
        <v>109056.06112499999</v>
      </c>
      <c r="G20" s="40">
        <f t="shared" si="2"/>
        <v>112873.02326437498</v>
      </c>
      <c r="H20" s="40">
        <f t="shared" si="2"/>
        <v>116823.5790786281</v>
      </c>
      <c r="K20" s="35" t="s">
        <v>56</v>
      </c>
      <c r="M20" s="13">
        <v>0.71817541036395338</v>
      </c>
      <c r="N20" s="24">
        <f t="shared" si="3"/>
        <v>0</v>
      </c>
      <c r="O20" s="24">
        <f t="shared" si="3"/>
        <v>25589.846678235797</v>
      </c>
      <c r="P20" s="24">
        <f t="shared" si="3"/>
        <v>75672.832319925845</v>
      </c>
      <c r="Q20" s="24">
        <f t="shared" si="3"/>
        <v>78321.381451123249</v>
      </c>
      <c r="R20" s="24">
        <f t="shared" si="3"/>
        <v>81062.629801912553</v>
      </c>
      <c r="S20" s="24">
        <f t="shared" si="3"/>
        <v>83899.821844979495</v>
      </c>
    </row>
    <row r="21" spans="1:19" x14ac:dyDescent="0.25">
      <c r="A21" s="23">
        <f>MAX(A$6:A20)+1</f>
        <v>13</v>
      </c>
      <c r="B21" s="43" t="s">
        <v>50</v>
      </c>
      <c r="C21" s="36">
        <f t="shared" si="2"/>
        <v>0</v>
      </c>
      <c r="D21" s="36">
        <f t="shared" si="2"/>
        <v>673431.14999999991</v>
      </c>
      <c r="E21" s="36">
        <f t="shared" si="2"/>
        <v>1991432.1149999998</v>
      </c>
      <c r="F21" s="36">
        <f t="shared" si="2"/>
        <v>2061132.2390249998</v>
      </c>
      <c r="G21" s="36">
        <f t="shared" si="2"/>
        <v>2133271.8673908743</v>
      </c>
      <c r="H21" s="36">
        <f t="shared" si="2"/>
        <v>2207936.3827495552</v>
      </c>
      <c r="K21" s="35" t="s">
        <v>23</v>
      </c>
      <c r="M21" s="13">
        <v>0.95239917402446805</v>
      </c>
      <c r="N21" s="24">
        <f t="shared" si="3"/>
        <v>0</v>
      </c>
      <c r="O21" s="24">
        <f t="shared" si="3"/>
        <v>641375.27102234762</v>
      </c>
      <c r="P21" s="24">
        <f t="shared" si="3"/>
        <v>1896638.3014517992</v>
      </c>
      <c r="Q21" s="24">
        <f t="shared" si="3"/>
        <v>1963020.6420026124</v>
      </c>
      <c r="R21" s="24">
        <f t="shared" si="3"/>
        <v>2031726.3644727033</v>
      </c>
      <c r="S21" s="24">
        <f t="shared" si="3"/>
        <v>2102836.7872292483</v>
      </c>
    </row>
    <row r="22" spans="1:19" x14ac:dyDescent="0.25">
      <c r="A22" s="20">
        <f>MAX(A$6:A21)+1</f>
        <v>14</v>
      </c>
      <c r="B22" s="61" t="s">
        <v>51</v>
      </c>
      <c r="C22" s="40">
        <f t="shared" si="2"/>
        <v>0</v>
      </c>
      <c r="D22" s="40">
        <f t="shared" si="2"/>
        <v>0</v>
      </c>
      <c r="E22" s="40">
        <f t="shared" si="2"/>
        <v>0</v>
      </c>
      <c r="F22" s="40">
        <f t="shared" si="2"/>
        <v>0</v>
      </c>
      <c r="G22" s="40">
        <f t="shared" si="2"/>
        <v>0</v>
      </c>
      <c r="H22" s="40">
        <f t="shared" si="2"/>
        <v>0</v>
      </c>
      <c r="K22" s="35" t="s">
        <v>57</v>
      </c>
      <c r="M22" s="13">
        <v>0.89517082239955581</v>
      </c>
      <c r="N22" s="24">
        <f t="shared" si="3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</row>
    <row r="23" spans="1:19" s="59" customFormat="1" x14ac:dyDescent="0.25">
      <c r="A23" s="23">
        <f>MAX(A$6:A22)+1</f>
        <v>15</v>
      </c>
      <c r="B23" s="21" t="s">
        <v>52</v>
      </c>
      <c r="C23" s="36">
        <f t="shared" si="2"/>
        <v>0</v>
      </c>
      <c r="D23" s="36">
        <f t="shared" si="2"/>
        <v>406381.85</v>
      </c>
      <c r="E23" s="36">
        <f t="shared" si="2"/>
        <v>1201729.1849999998</v>
      </c>
      <c r="F23" s="36">
        <f t="shared" si="2"/>
        <v>1243789.7064749999</v>
      </c>
      <c r="G23" s="36">
        <f t="shared" si="2"/>
        <v>1287322.3462016247</v>
      </c>
      <c r="H23" s="36">
        <f t="shared" si="2"/>
        <v>1332378.6283186816</v>
      </c>
      <c r="K23" s="35" t="s">
        <v>58</v>
      </c>
      <c r="L23"/>
      <c r="M23" s="13">
        <v>0.92802791780217886</v>
      </c>
      <c r="N23" s="24">
        <f t="shared" si="3"/>
        <v>0</v>
      </c>
      <c r="O23" s="24">
        <f t="shared" si="3"/>
        <v>377133.70208809734</v>
      </c>
      <c r="P23" s="24">
        <f t="shared" si="3"/>
        <v>1115238.2333176592</v>
      </c>
      <c r="Q23" s="24">
        <f t="shared" si="3"/>
        <v>1154271.5714837774</v>
      </c>
      <c r="R23" s="24">
        <f t="shared" si="3"/>
        <v>1194671.0764857095</v>
      </c>
      <c r="S23" s="24">
        <f t="shared" si="3"/>
        <v>1236484.5641627093</v>
      </c>
    </row>
    <row r="24" spans="1:19" s="59" customFormat="1" x14ac:dyDescent="0.25">
      <c r="A24" s="20">
        <f>MAX(A$6:A23)+1</f>
        <v>16</v>
      </c>
      <c r="B24" s="56" t="s">
        <v>59</v>
      </c>
      <c r="C24" s="60">
        <f t="shared" ref="C24:H24" si="4">SUM(C18:C23)</f>
        <v>0</v>
      </c>
      <c r="D24" s="60">
        <f t="shared" si="4"/>
        <v>1685534.25</v>
      </c>
      <c r="E24" s="60">
        <f t="shared" si="4"/>
        <v>4753708.4249999998</v>
      </c>
      <c r="F24" s="60">
        <f t="shared" si="4"/>
        <v>4920088.2198749995</v>
      </c>
      <c r="G24" s="60">
        <f t="shared" si="4"/>
        <v>5092291.3075706232</v>
      </c>
      <c r="H24" s="60">
        <f t="shared" si="4"/>
        <v>5270521.5033355961</v>
      </c>
      <c r="M24" s="54"/>
      <c r="N24" s="24"/>
      <c r="O24" s="24"/>
      <c r="P24" s="24"/>
      <c r="Q24" s="24"/>
      <c r="R24" s="24"/>
      <c r="S24" s="24"/>
    </row>
    <row r="25" spans="1:19" ht="15.75" x14ac:dyDescent="0.25">
      <c r="A25" s="58"/>
      <c r="B25" s="31" t="s">
        <v>60</v>
      </c>
      <c r="C25" s="57"/>
      <c r="D25" s="31"/>
      <c r="E25" s="31"/>
      <c r="F25" s="31"/>
      <c r="G25" s="31"/>
      <c r="H25" s="31"/>
    </row>
    <row r="26" spans="1:19" x14ac:dyDescent="0.25">
      <c r="A26" s="23"/>
      <c r="B26" s="21" t="s">
        <v>61</v>
      </c>
      <c r="C26" s="39"/>
      <c r="D26" s="39"/>
      <c r="E26" s="22"/>
      <c r="F26" s="22"/>
      <c r="G26" s="22"/>
      <c r="H26" s="22"/>
      <c r="L26" s="56" t="s">
        <v>30</v>
      </c>
      <c r="N26" s="18">
        <f t="shared" ref="N26:S26" si="5">SUM(N18:N23)</f>
        <v>0</v>
      </c>
      <c r="O26" s="18">
        <f t="shared" si="5"/>
        <v>1554347.5655087442</v>
      </c>
      <c r="P26" s="18">
        <f t="shared" si="5"/>
        <v>4381577.3716761731</v>
      </c>
      <c r="Q26" s="18">
        <f t="shared" si="5"/>
        <v>4534932.5796848387</v>
      </c>
      <c r="R26" s="18">
        <f t="shared" si="5"/>
        <v>4693655.2199738072</v>
      </c>
      <c r="S26" s="18">
        <f t="shared" si="5"/>
        <v>4857933.1526728906</v>
      </c>
    </row>
    <row r="27" spans="1:19" x14ac:dyDescent="0.25">
      <c r="A27" s="20">
        <f>MAX(A$6:A26)+1</f>
        <v>17</v>
      </c>
      <c r="B27" s="38" t="s">
        <v>62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14"/>
    </row>
    <row r="28" spans="1:19" x14ac:dyDescent="0.25">
      <c r="A28" s="23"/>
      <c r="B28" s="21"/>
      <c r="C28" s="21"/>
      <c r="D28" s="21"/>
      <c r="E28" s="22"/>
      <c r="F28" s="22"/>
      <c r="G28" s="22"/>
      <c r="H28" s="22"/>
    </row>
    <row r="29" spans="1:19" x14ac:dyDescent="0.25">
      <c r="A29" s="55">
        <f>MAX(A$6:A28)+1</f>
        <v>18</v>
      </c>
      <c r="B29" s="19" t="s">
        <v>22</v>
      </c>
      <c r="C29" s="18">
        <f t="shared" ref="C29:H29" si="6">+C27*(1+C$7)</f>
        <v>0</v>
      </c>
      <c r="D29" s="18">
        <f t="shared" si="6"/>
        <v>0</v>
      </c>
      <c r="E29" s="18">
        <f t="shared" si="6"/>
        <v>0</v>
      </c>
      <c r="F29" s="18">
        <f t="shared" si="6"/>
        <v>0</v>
      </c>
      <c r="G29" s="18">
        <f t="shared" si="6"/>
        <v>0</v>
      </c>
      <c r="H29" s="18">
        <f t="shared" si="6"/>
        <v>0</v>
      </c>
    </row>
    <row r="30" spans="1:19" x14ac:dyDescent="0.25">
      <c r="A30" s="23"/>
      <c r="B30" s="21"/>
      <c r="C30" s="21"/>
      <c r="D30" s="21"/>
      <c r="E30" s="22"/>
      <c r="F30" s="22"/>
      <c r="G30" s="22"/>
      <c r="H30" s="22"/>
    </row>
    <row r="31" spans="1:19" x14ac:dyDescent="0.25">
      <c r="A31" s="55">
        <f>MAX(A$6:A30)+1</f>
        <v>19</v>
      </c>
      <c r="B31" s="33" t="s">
        <v>24</v>
      </c>
      <c r="C31" s="18">
        <f t="shared" ref="C31:H31" si="7">+C29+C24</f>
        <v>0</v>
      </c>
      <c r="D31" s="18">
        <f t="shared" si="7"/>
        <v>1685534.25</v>
      </c>
      <c r="E31" s="18">
        <f t="shared" si="7"/>
        <v>4753708.4249999998</v>
      </c>
      <c r="F31" s="18">
        <f t="shared" si="7"/>
        <v>4920088.2198749995</v>
      </c>
      <c r="G31" s="18">
        <f t="shared" si="7"/>
        <v>5092291.3075706232</v>
      </c>
      <c r="H31" s="18">
        <f t="shared" si="7"/>
        <v>5270521.5033355961</v>
      </c>
    </row>
    <row r="32" spans="1:19" x14ac:dyDescent="0.25">
      <c r="A32" s="23"/>
      <c r="B32" s="21"/>
      <c r="C32" s="21"/>
      <c r="D32" s="21"/>
      <c r="E32" s="22"/>
      <c r="F32" s="22"/>
      <c r="G32" s="22"/>
      <c r="H32" s="22"/>
    </row>
    <row r="33" spans="1:19" ht="15.75" x14ac:dyDescent="0.25">
      <c r="A33" s="32"/>
      <c r="B33" s="31" t="s">
        <v>25</v>
      </c>
      <c r="C33" s="31"/>
      <c r="D33" s="31"/>
      <c r="E33" s="31"/>
      <c r="F33" s="31"/>
      <c r="G33" s="31"/>
      <c r="H33" s="31"/>
    </row>
    <row r="34" spans="1:19" ht="15.75" x14ac:dyDescent="0.25">
      <c r="A34" s="32"/>
      <c r="B34" s="31" t="s">
        <v>26</v>
      </c>
      <c r="C34" s="31"/>
      <c r="D34" s="31"/>
      <c r="E34" s="31"/>
      <c r="F34" s="31"/>
      <c r="G34" s="31"/>
      <c r="H34" s="31"/>
      <c r="M34" s="54"/>
      <c r="N34" s="24"/>
      <c r="O34" s="24"/>
      <c r="P34" s="24"/>
      <c r="Q34" s="24"/>
      <c r="R34" s="24"/>
      <c r="S34" s="24"/>
    </row>
    <row r="35" spans="1:19" x14ac:dyDescent="0.25">
      <c r="A35" s="20">
        <f>MAX(A$6:A34)+1</f>
        <v>20</v>
      </c>
      <c r="B35" s="27" t="s">
        <v>27</v>
      </c>
      <c r="C35" s="30">
        <f>+'Pension &amp; Fringes Ratio'!E12</f>
        <v>0.43116127604766247</v>
      </c>
      <c r="D35" s="30">
        <f>+'Pension &amp; Fringes Ratio'!F12</f>
        <v>0.42910812711410212</v>
      </c>
      <c r="E35" s="30">
        <f>+'Pension &amp; Fringes Ratio'!G12</f>
        <v>0.4274497382170428</v>
      </c>
      <c r="F35" s="30">
        <f>+'Pension &amp; Fringes Ratio'!H12</f>
        <v>0.43327296653478231</v>
      </c>
      <c r="G35" s="30">
        <f>+'Pension &amp; Fringes Ratio'!I12</f>
        <v>0.43917552578902419</v>
      </c>
      <c r="H35" s="30">
        <f>+'Pension &amp; Fringes Ratio'!J12</f>
        <v>0.44278228131482777</v>
      </c>
      <c r="M35" s="54"/>
      <c r="N35" s="24"/>
      <c r="O35" s="24"/>
      <c r="P35" s="24"/>
      <c r="Q35" s="24"/>
      <c r="R35" s="24"/>
      <c r="S35" s="24"/>
    </row>
    <row r="36" spans="1:19" x14ac:dyDescent="0.25">
      <c r="A36" s="23">
        <f>MAX(A$6:A35)+1</f>
        <v>21</v>
      </c>
      <c r="B36" s="21" t="s">
        <v>28</v>
      </c>
      <c r="C36" s="22">
        <f>+'Pension &amp; Fringes Ratio'!E13</f>
        <v>0.32297321114521454</v>
      </c>
      <c r="D36" s="22">
        <f>+'Pension &amp; Fringes Ratio'!F13</f>
        <v>0.31300718062987648</v>
      </c>
      <c r="E36" s="22">
        <f>+'Pension &amp; Fringes Ratio'!G13</f>
        <v>0.30242239674384203</v>
      </c>
      <c r="F36" s="22">
        <f>+'Pension &amp; Fringes Ratio'!H13</f>
        <v>0.29219555240950928</v>
      </c>
      <c r="G36" s="22">
        <f>+'Pension &amp; Fringes Ratio'!I13</f>
        <v>0.28231454339083017</v>
      </c>
      <c r="H36" s="22">
        <f>+'Pension &amp; Fringes Ratio'!J13</f>
        <v>0.27276767477374897</v>
      </c>
      <c r="M36" s="54"/>
      <c r="N36" s="24"/>
      <c r="O36" s="24"/>
      <c r="P36" s="24"/>
      <c r="Q36" s="24"/>
      <c r="R36" s="24"/>
      <c r="S36" s="24"/>
    </row>
    <row r="37" spans="1:19" x14ac:dyDescent="0.25">
      <c r="A37" s="20">
        <f>MAX(A$6:A36)+1</f>
        <v>22</v>
      </c>
      <c r="B37" s="27" t="s">
        <v>29</v>
      </c>
      <c r="C37" s="30">
        <f>+'Pension &amp; Fringes Ratio'!E14</f>
        <v>6.7370354151241443E-2</v>
      </c>
      <c r="D37" s="30">
        <f>+'Pension &amp; Fringes Ratio'!F14</f>
        <v>6.416224204880136E-2</v>
      </c>
      <c r="E37" s="30">
        <f>+'Pension &amp; Fringes Ratio'!G14</f>
        <v>6.2476166350071236E-2</v>
      </c>
      <c r="F37" s="30">
        <f>+'Pension &amp; Fringes Ratio'!H14</f>
        <v>6.0362771672245706E-2</v>
      </c>
      <c r="G37" s="30">
        <f>+'Pension &amp; Fringes Ratio'!I14</f>
        <v>5.832086724942772E-2</v>
      </c>
      <c r="H37" s="30">
        <f>+'Pension &amp; Fringes Ratio'!J14</f>
        <v>5.6348034765429288E-2</v>
      </c>
    </row>
    <row r="38" spans="1:19" x14ac:dyDescent="0.25">
      <c r="A38" s="23">
        <f>MAX(A$6:A37)+1</f>
        <v>23</v>
      </c>
      <c r="B38" s="21" t="s">
        <v>30</v>
      </c>
      <c r="C38" s="29">
        <f t="shared" ref="C38:H38" si="8">SUM(C35:C37)</f>
        <v>0.8215048413441185</v>
      </c>
      <c r="D38" s="29">
        <f t="shared" si="8"/>
        <v>0.80627754979277999</v>
      </c>
      <c r="E38" s="29">
        <f t="shared" si="8"/>
        <v>0.79234830131095602</v>
      </c>
      <c r="F38" s="29">
        <f t="shared" si="8"/>
        <v>0.78583129061653723</v>
      </c>
      <c r="G38" s="29">
        <f t="shared" si="8"/>
        <v>0.77981093642928212</v>
      </c>
      <c r="H38" s="29">
        <f t="shared" si="8"/>
        <v>0.77189799085400601</v>
      </c>
      <c r="N38" s="53"/>
      <c r="O38" s="53"/>
      <c r="P38" s="53"/>
      <c r="Q38" s="53"/>
      <c r="R38" s="53"/>
      <c r="S38" s="53"/>
    </row>
    <row r="39" spans="1:19" x14ac:dyDescent="0.25">
      <c r="A39" s="20">
        <f>MAX(A$6:A38)+1</f>
        <v>24</v>
      </c>
      <c r="B39" s="27" t="s">
        <v>31</v>
      </c>
      <c r="C39" s="26">
        <f t="shared" ref="C39:H41" si="9">ROUND(+C$31*C35,-3)</f>
        <v>0</v>
      </c>
      <c r="D39" s="26">
        <f t="shared" si="9"/>
        <v>723000</v>
      </c>
      <c r="E39" s="26">
        <f t="shared" si="9"/>
        <v>2032000</v>
      </c>
      <c r="F39" s="26">
        <f t="shared" si="9"/>
        <v>2132000</v>
      </c>
      <c r="G39" s="26">
        <f t="shared" si="9"/>
        <v>2236000</v>
      </c>
      <c r="H39" s="26">
        <f t="shared" si="9"/>
        <v>2334000</v>
      </c>
      <c r="I39" s="14"/>
      <c r="J39" s="14"/>
      <c r="K39" s="35" t="s">
        <v>32</v>
      </c>
      <c r="M39" s="13">
        <v>1</v>
      </c>
      <c r="N39" s="24">
        <f t="shared" ref="N39:S41" si="10">+C39*$M39</f>
        <v>0</v>
      </c>
      <c r="O39" s="24">
        <f t="shared" si="10"/>
        <v>723000</v>
      </c>
      <c r="P39" s="24">
        <f t="shared" si="10"/>
        <v>2032000</v>
      </c>
      <c r="Q39" s="24">
        <f t="shared" si="10"/>
        <v>2132000</v>
      </c>
      <c r="R39" s="24">
        <f t="shared" si="10"/>
        <v>2236000</v>
      </c>
      <c r="S39" s="24">
        <f t="shared" si="10"/>
        <v>2334000</v>
      </c>
    </row>
    <row r="40" spans="1:19" x14ac:dyDescent="0.25">
      <c r="A40" s="23">
        <f>MAX(A$6:A39)+1</f>
        <v>25</v>
      </c>
      <c r="B40" s="21" t="s">
        <v>33</v>
      </c>
      <c r="C40" s="28">
        <f t="shared" si="9"/>
        <v>0</v>
      </c>
      <c r="D40" s="28">
        <f t="shared" si="9"/>
        <v>528000</v>
      </c>
      <c r="E40" s="28">
        <f t="shared" si="9"/>
        <v>1438000</v>
      </c>
      <c r="F40" s="28">
        <f t="shared" si="9"/>
        <v>1438000</v>
      </c>
      <c r="G40" s="28">
        <f t="shared" si="9"/>
        <v>1438000</v>
      </c>
      <c r="H40" s="28">
        <f t="shared" si="9"/>
        <v>1438000</v>
      </c>
      <c r="I40" s="25"/>
      <c r="J40" s="25"/>
      <c r="K40" s="35" t="s">
        <v>34</v>
      </c>
      <c r="M40" s="13">
        <v>1</v>
      </c>
      <c r="N40" s="24">
        <f t="shared" si="10"/>
        <v>0</v>
      </c>
      <c r="O40" s="24">
        <f t="shared" si="10"/>
        <v>528000</v>
      </c>
      <c r="P40" s="24">
        <f t="shared" si="10"/>
        <v>1438000</v>
      </c>
      <c r="Q40" s="24">
        <f t="shared" si="10"/>
        <v>1438000</v>
      </c>
      <c r="R40" s="24">
        <f t="shared" si="10"/>
        <v>1438000</v>
      </c>
      <c r="S40" s="24">
        <f t="shared" si="10"/>
        <v>1438000</v>
      </c>
    </row>
    <row r="41" spans="1:19" x14ac:dyDescent="0.25">
      <c r="A41" s="20">
        <f>MAX(A$6:A40)+1</f>
        <v>26</v>
      </c>
      <c r="B41" s="27" t="s">
        <v>35</v>
      </c>
      <c r="C41" s="26">
        <f t="shared" si="9"/>
        <v>0</v>
      </c>
      <c r="D41" s="26">
        <f t="shared" si="9"/>
        <v>108000</v>
      </c>
      <c r="E41" s="26">
        <f t="shared" si="9"/>
        <v>297000</v>
      </c>
      <c r="F41" s="26">
        <f t="shared" si="9"/>
        <v>297000</v>
      </c>
      <c r="G41" s="26">
        <f t="shared" si="9"/>
        <v>297000</v>
      </c>
      <c r="H41" s="26">
        <f t="shared" si="9"/>
        <v>297000</v>
      </c>
      <c r="I41" s="25"/>
      <c r="J41" s="25"/>
      <c r="K41" s="35" t="s">
        <v>36</v>
      </c>
      <c r="M41" s="13">
        <v>1</v>
      </c>
      <c r="N41" s="24">
        <f t="shared" si="10"/>
        <v>0</v>
      </c>
      <c r="O41" s="24">
        <f t="shared" si="10"/>
        <v>108000</v>
      </c>
      <c r="P41" s="24">
        <f t="shared" si="10"/>
        <v>297000</v>
      </c>
      <c r="Q41" s="24">
        <f t="shared" si="10"/>
        <v>297000</v>
      </c>
      <c r="R41" s="24">
        <f t="shared" si="10"/>
        <v>297000</v>
      </c>
      <c r="S41" s="24">
        <f t="shared" si="10"/>
        <v>297000</v>
      </c>
    </row>
    <row r="42" spans="1:19" x14ac:dyDescent="0.25">
      <c r="A42" s="23"/>
      <c r="B42" s="21"/>
      <c r="C42" s="21"/>
      <c r="D42" s="21"/>
      <c r="E42" s="22"/>
      <c r="F42" s="22"/>
      <c r="G42" s="22"/>
      <c r="H42" s="22"/>
    </row>
    <row r="43" spans="1:19" x14ac:dyDescent="0.25">
      <c r="A43" s="20">
        <f>MAX(A$6:A42)+1</f>
        <v>27</v>
      </c>
      <c r="B43" s="19" t="s">
        <v>37</v>
      </c>
      <c r="C43" s="18">
        <f t="shared" ref="C43:H43" si="11">SUM(C39:C42)</f>
        <v>0</v>
      </c>
      <c r="D43" s="18">
        <f t="shared" si="11"/>
        <v>1359000</v>
      </c>
      <c r="E43" s="18">
        <f t="shared" si="11"/>
        <v>3767000</v>
      </c>
      <c r="F43" s="18">
        <f t="shared" si="11"/>
        <v>3867000</v>
      </c>
      <c r="G43" s="18">
        <f t="shared" si="11"/>
        <v>3971000</v>
      </c>
      <c r="H43" s="18">
        <f t="shared" si="11"/>
        <v>4069000</v>
      </c>
      <c r="N43" s="18">
        <f t="shared" ref="N43:S43" si="12">SUM(N39:N42)</f>
        <v>0</v>
      </c>
      <c r="O43" s="18">
        <f t="shared" si="12"/>
        <v>1359000</v>
      </c>
      <c r="P43" s="18">
        <f t="shared" si="12"/>
        <v>3767000</v>
      </c>
      <c r="Q43" s="18">
        <f t="shared" si="12"/>
        <v>3867000</v>
      </c>
      <c r="R43" s="18">
        <f t="shared" si="12"/>
        <v>3971000</v>
      </c>
      <c r="S43" s="18">
        <f t="shared" si="12"/>
        <v>4069000</v>
      </c>
    </row>
    <row r="44" spans="1:19" x14ac:dyDescent="0.25">
      <c r="A44" s="23"/>
      <c r="B44" s="21"/>
      <c r="C44" s="21"/>
      <c r="D44" s="21"/>
      <c r="E44" s="22"/>
      <c r="F44" s="22"/>
      <c r="G44" s="22"/>
      <c r="H44" s="22"/>
      <c r="N44" s="21"/>
      <c r="O44" s="21"/>
      <c r="P44" s="22"/>
      <c r="Q44" s="21"/>
      <c r="R44" s="21"/>
      <c r="S44" s="22"/>
    </row>
    <row r="45" spans="1:19" x14ac:dyDescent="0.25">
      <c r="A45" s="20">
        <f>MAX(A$6:A44)+1</f>
        <v>28</v>
      </c>
      <c r="B45" s="19" t="s">
        <v>38</v>
      </c>
      <c r="C45" s="18">
        <f t="shared" ref="C45:H45" si="13">+C43+C31</f>
        <v>0</v>
      </c>
      <c r="D45" s="18">
        <f t="shared" si="13"/>
        <v>3044534.25</v>
      </c>
      <c r="E45" s="18">
        <f t="shared" si="13"/>
        <v>8520708.4250000007</v>
      </c>
      <c r="F45" s="18">
        <f t="shared" si="13"/>
        <v>8787088.2198750004</v>
      </c>
      <c r="G45" s="18">
        <f t="shared" si="13"/>
        <v>9063291.3075706232</v>
      </c>
      <c r="H45" s="18">
        <f t="shared" si="13"/>
        <v>9339521.5033355951</v>
      </c>
      <c r="N45" s="18">
        <f t="shared" ref="N45:S45" si="14">+N43+N26</f>
        <v>0</v>
      </c>
      <c r="O45" s="18">
        <f t="shared" si="14"/>
        <v>2913347.5655087442</v>
      </c>
      <c r="P45" s="18">
        <f t="shared" si="14"/>
        <v>8148577.3716761731</v>
      </c>
      <c r="Q45" s="18">
        <f t="shared" si="14"/>
        <v>8401932.5796848387</v>
      </c>
      <c r="R45" s="18">
        <f t="shared" si="14"/>
        <v>8664655.2199738063</v>
      </c>
      <c r="S45" s="18">
        <f t="shared" si="14"/>
        <v>8926933.1526728906</v>
      </c>
    </row>
    <row r="46" spans="1:19" x14ac:dyDescent="0.25">
      <c r="A46" s="17"/>
      <c r="B46" s="16"/>
      <c r="C46" s="15"/>
      <c r="D46" s="15"/>
      <c r="E46" s="15"/>
      <c r="F46" s="15"/>
      <c r="G46" s="15"/>
      <c r="H46" s="15"/>
    </row>
    <row r="47" spans="1:19" x14ac:dyDescent="0.25">
      <c r="A47" t="s">
        <v>63</v>
      </c>
    </row>
    <row r="50" spans="1:19" x14ac:dyDescent="0.25">
      <c r="D50" s="14"/>
      <c r="E50" s="14"/>
      <c r="F50" s="14"/>
      <c r="G50" s="14"/>
      <c r="H50" s="14"/>
      <c r="I50" s="14"/>
      <c r="N50" s="14"/>
      <c r="O50" s="14"/>
      <c r="P50" s="14"/>
      <c r="Q50" s="14"/>
      <c r="R50" s="14"/>
      <c r="S50" s="14"/>
    </row>
    <row r="55" spans="1:19" x14ac:dyDescent="0.25">
      <c r="O55" s="14"/>
      <c r="S55" s="14"/>
    </row>
    <row r="64" spans="1:19" x14ac:dyDescent="0.25">
      <c r="A64" s="14"/>
      <c r="B64" s="14"/>
      <c r="C64" s="14"/>
      <c r="D64" s="14"/>
      <c r="E64" s="14"/>
    </row>
    <row r="103" spans="1:19" x14ac:dyDescent="0.25">
      <c r="A103" s="7">
        <f>MAX(A$6:A102)+1</f>
        <v>29</v>
      </c>
      <c r="B103" s="6" t="s">
        <v>40</v>
      </c>
      <c r="C103" s="3">
        <f t="shared" ref="C103:H103" si="15">SUM(C20:C23)</f>
        <v>0</v>
      </c>
      <c r="D103" s="3">
        <f t="shared" si="15"/>
        <v>1115444.75</v>
      </c>
      <c r="E103" s="3">
        <f t="shared" si="15"/>
        <v>3298529.4749999996</v>
      </c>
      <c r="F103" s="3">
        <f t="shared" si="15"/>
        <v>3413978.0066249995</v>
      </c>
      <c r="G103" s="3">
        <f t="shared" si="15"/>
        <v>3533467.2368568741</v>
      </c>
      <c r="H103" s="3">
        <f t="shared" si="15"/>
        <v>3657138.5901468648</v>
      </c>
      <c r="L103" s="5" t="str">
        <f>B103</f>
        <v xml:space="preserve">PWD (Dept 28) Subtotal </v>
      </c>
      <c r="M103" s="4"/>
      <c r="N103" s="3">
        <f t="shared" ref="N103:S103" si="16">SUM(N20:N23)</f>
        <v>0</v>
      </c>
      <c r="O103" s="3">
        <f t="shared" si="16"/>
        <v>1044098.8197886808</v>
      </c>
      <c r="P103" s="3">
        <f t="shared" si="16"/>
        <v>3087549.3670893842</v>
      </c>
      <c r="Q103" s="3">
        <f t="shared" si="16"/>
        <v>3195613.5949375127</v>
      </c>
      <c r="R103" s="3">
        <f t="shared" si="16"/>
        <v>3307460.0707603255</v>
      </c>
      <c r="S103" s="3">
        <f t="shared" si="16"/>
        <v>3423221.1732369373</v>
      </c>
    </row>
    <row r="104" spans="1:19" x14ac:dyDescent="0.25">
      <c r="A104" s="10"/>
      <c r="B104" s="9"/>
      <c r="C104" s="8"/>
      <c r="D104" s="8"/>
      <c r="E104" s="8"/>
      <c r="F104" s="8"/>
      <c r="G104" s="8"/>
      <c r="H104" s="8"/>
    </row>
    <row r="105" spans="1:19" x14ac:dyDescent="0.25">
      <c r="A105" s="7">
        <f>MAX(A$6:A104)+1</f>
        <v>30</v>
      </c>
      <c r="B105" s="6" t="s">
        <v>41</v>
      </c>
      <c r="C105" s="3">
        <f t="shared" ref="C105:H105" si="17">SUM(C18:C19,C43)</f>
        <v>0</v>
      </c>
      <c r="D105" s="3">
        <f t="shared" si="17"/>
        <v>1929089.5</v>
      </c>
      <c r="E105" s="3">
        <f t="shared" si="17"/>
        <v>5222178.95</v>
      </c>
      <c r="F105" s="3">
        <f t="shared" si="17"/>
        <v>5373110.21325</v>
      </c>
      <c r="G105" s="3">
        <f t="shared" si="17"/>
        <v>5529824.0707137492</v>
      </c>
      <c r="H105" s="3">
        <f t="shared" si="17"/>
        <v>5682382.9131887313</v>
      </c>
      <c r="L105" s="5" t="str">
        <f>B105</f>
        <v>OD Subtotal</v>
      </c>
      <c r="M105" s="4"/>
      <c r="N105" s="3">
        <f t="shared" ref="N105:S105" si="18">SUM(N18:N19,N43)</f>
        <v>0</v>
      </c>
      <c r="O105" s="3">
        <f t="shared" si="18"/>
        <v>1869248.7457200636</v>
      </c>
      <c r="P105" s="3">
        <f t="shared" si="18"/>
        <v>5061028.0045867879</v>
      </c>
      <c r="Q105" s="3">
        <f t="shared" si="18"/>
        <v>5206318.984747326</v>
      </c>
      <c r="R105" s="3">
        <f t="shared" si="18"/>
        <v>5357195.1492134817</v>
      </c>
      <c r="S105" s="3">
        <f t="shared" si="18"/>
        <v>5503711.9794359542</v>
      </c>
    </row>
    <row r="106" spans="1:19" x14ac:dyDescent="0.25">
      <c r="A106" s="2"/>
      <c r="C106" s="1"/>
      <c r="D106" s="1"/>
      <c r="E106" s="1"/>
      <c r="F106" s="1"/>
      <c r="G106" s="1"/>
      <c r="H106" s="1"/>
    </row>
    <row r="107" spans="1:19" x14ac:dyDescent="0.25">
      <c r="A107" s="2"/>
      <c r="B107" t="s">
        <v>42</v>
      </c>
      <c r="C107" s="1">
        <f t="shared" ref="C107:H107" si="19">C45-C103-C105</f>
        <v>0</v>
      </c>
      <c r="D107" s="1">
        <f t="shared" si="19"/>
        <v>0</v>
      </c>
      <c r="E107" s="1">
        <f t="shared" si="19"/>
        <v>0</v>
      </c>
      <c r="F107" s="1">
        <f t="shared" si="19"/>
        <v>0</v>
      </c>
      <c r="G107" s="1">
        <f t="shared" si="19"/>
        <v>0</v>
      </c>
      <c r="H107" s="1">
        <f t="shared" si="19"/>
        <v>0</v>
      </c>
      <c r="L107" t="str">
        <f>B107</f>
        <v xml:space="preserve">Check </v>
      </c>
      <c r="N107" s="1">
        <f t="shared" ref="N107:S107" si="20">N45-N103-N105</f>
        <v>0</v>
      </c>
      <c r="O107" s="1">
        <f t="shared" si="20"/>
        <v>0</v>
      </c>
      <c r="P107" s="1">
        <f t="shared" si="20"/>
        <v>0</v>
      </c>
      <c r="Q107" s="1">
        <f t="shared" si="20"/>
        <v>0</v>
      </c>
      <c r="R107" s="1">
        <f t="shared" si="20"/>
        <v>0</v>
      </c>
      <c r="S107" s="1">
        <f t="shared" si="20"/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9E4A-80E1-4B48-894E-41B3DF8316AD}">
  <dimension ref="A1:S46"/>
  <sheetViews>
    <sheetView workbookViewId="0">
      <selection activeCell="A33" sqref="A33"/>
    </sheetView>
  </sheetViews>
  <sheetFormatPr defaultRowHeight="15" x14ac:dyDescent="0.25"/>
  <cols>
    <col min="1" max="2" width="10.5703125" style="63" customWidth="1"/>
    <col min="3" max="3" width="30.5703125" customWidth="1"/>
    <col min="4" max="17" width="15.5703125" customWidth="1"/>
  </cols>
  <sheetData>
    <row r="1" spans="1:19" ht="20.25" thickTop="1" thickBot="1" x14ac:dyDescent="0.3">
      <c r="A1" s="90" t="s">
        <v>64</v>
      </c>
      <c r="B1" s="90"/>
      <c r="C1" s="90"/>
      <c r="D1" s="90"/>
      <c r="E1" s="90"/>
      <c r="F1" s="90"/>
      <c r="G1" s="90"/>
      <c r="H1" s="89"/>
      <c r="I1" s="89"/>
      <c r="J1" s="89"/>
    </row>
    <row r="2" spans="1:19" ht="18" thickTop="1" x14ac:dyDescent="0.4">
      <c r="A2" s="77" t="s">
        <v>65</v>
      </c>
      <c r="B2" s="75" t="s">
        <v>66</v>
      </c>
      <c r="C2" s="75" t="s">
        <v>67</v>
      </c>
      <c r="D2" s="75"/>
      <c r="E2" s="48">
        <v>2025</v>
      </c>
      <c r="F2" s="48">
        <f>+E2+1</f>
        <v>2026</v>
      </c>
      <c r="G2" s="48">
        <f>+F2+1</f>
        <v>2027</v>
      </c>
      <c r="H2" s="48">
        <f>+G2+1</f>
        <v>2028</v>
      </c>
      <c r="I2" s="48">
        <f>+H2+1</f>
        <v>2029</v>
      </c>
      <c r="J2" s="48">
        <f>+I2+1</f>
        <v>2030</v>
      </c>
    </row>
    <row r="3" spans="1:19" ht="15.75" x14ac:dyDescent="0.25">
      <c r="A3" s="32"/>
      <c r="B3" s="31" t="s">
        <v>68</v>
      </c>
      <c r="C3" s="31"/>
      <c r="D3" s="31"/>
      <c r="E3" s="31"/>
      <c r="F3" s="31"/>
      <c r="G3" s="31"/>
      <c r="H3" s="31"/>
      <c r="I3" s="31"/>
      <c r="J3" s="31"/>
    </row>
    <row r="4" spans="1:19" x14ac:dyDescent="0.25">
      <c r="A4" s="70">
        <v>1</v>
      </c>
      <c r="B4" s="69">
        <v>100</v>
      </c>
      <c r="C4" s="38" t="s">
        <v>69</v>
      </c>
      <c r="D4" s="68"/>
      <c r="E4" s="68">
        <v>184327485.82740185</v>
      </c>
      <c r="F4" s="68">
        <v>193543860.11877197</v>
      </c>
      <c r="G4" s="68">
        <v>200317895.22292897</v>
      </c>
      <c r="H4" s="68">
        <v>207329021.55573145</v>
      </c>
      <c r="I4" s="68">
        <v>214585537.31018206</v>
      </c>
      <c r="J4" s="68">
        <v>222096031.11603844</v>
      </c>
    </row>
    <row r="5" spans="1:19" x14ac:dyDescent="0.25">
      <c r="A5" s="74">
        <f>MAX(A4)+1</f>
        <v>2</v>
      </c>
      <c r="B5" s="72" t="s">
        <v>70</v>
      </c>
      <c r="C5" s="73" t="s">
        <v>27</v>
      </c>
      <c r="D5" s="72"/>
      <c r="E5" s="71">
        <v>79474874</v>
      </c>
      <c r="F5" s="71">
        <v>83051243.329999998</v>
      </c>
      <c r="G5" s="71">
        <v>85625831.873229995</v>
      </c>
      <c r="H5" s="71">
        <v>89830060.218205586</v>
      </c>
      <c r="I5" s="71">
        <v>94240716.174919471</v>
      </c>
      <c r="J5" s="71">
        <v>98340187.328528479</v>
      </c>
    </row>
    <row r="6" spans="1:19" x14ac:dyDescent="0.25">
      <c r="A6" s="70">
        <f>MAX(A$5:A5)+1</f>
        <v>3</v>
      </c>
      <c r="B6" s="69">
        <v>191</v>
      </c>
      <c r="C6" s="38" t="s">
        <v>28</v>
      </c>
      <c r="D6" s="68"/>
      <c r="E6" s="68">
        <v>59532840</v>
      </c>
      <c r="F6" s="68">
        <v>60580617.984000005</v>
      </c>
      <c r="G6" s="68">
        <v>60580617.984000005</v>
      </c>
      <c r="H6" s="68">
        <v>60580617.984000005</v>
      </c>
      <c r="I6" s="68">
        <v>60580617.984000005</v>
      </c>
      <c r="J6" s="68">
        <v>60580617.984000005</v>
      </c>
    </row>
    <row r="7" spans="1:19" x14ac:dyDescent="0.25">
      <c r="A7" s="74">
        <f>MAX(A$5:A6)+1</f>
        <v>4</v>
      </c>
      <c r="B7" s="72">
        <v>190</v>
      </c>
      <c r="C7" s="73" t="s">
        <v>29</v>
      </c>
      <c r="D7" s="72"/>
      <c r="E7" s="71">
        <v>12418208</v>
      </c>
      <c r="F7" s="71">
        <v>12418208</v>
      </c>
      <c r="G7" s="71">
        <v>12515094.14484385</v>
      </c>
      <c r="H7" s="71">
        <v>12514954.389198726</v>
      </c>
      <c r="I7" s="71">
        <v>12514814.635114247</v>
      </c>
      <c r="J7" s="71">
        <v>12514674.882590398</v>
      </c>
    </row>
    <row r="8" spans="1:19" x14ac:dyDescent="0.25">
      <c r="A8" s="70"/>
      <c r="B8" s="69"/>
      <c r="C8" s="38"/>
      <c r="D8" s="68"/>
      <c r="E8" s="68"/>
      <c r="F8" s="68"/>
      <c r="G8" s="68"/>
      <c r="H8" s="68"/>
      <c r="I8" s="68"/>
      <c r="J8" s="68"/>
    </row>
    <row r="9" spans="1:19" s="59" customFormat="1" x14ac:dyDescent="0.25">
      <c r="A9" s="67">
        <f>MAX(A$5:A8)+1</f>
        <v>5</v>
      </c>
      <c r="B9" s="65"/>
      <c r="C9" s="9" t="s">
        <v>30</v>
      </c>
      <c r="D9" s="65"/>
      <c r="E9" s="64">
        <f t="shared" ref="E9:J9" si="0">SUM(E4:E8)</f>
        <v>335753407.82740188</v>
      </c>
      <c r="F9" s="64">
        <f t="shared" si="0"/>
        <v>349593929.43277198</v>
      </c>
      <c r="G9" s="64">
        <f t="shared" si="0"/>
        <v>359039439.22500288</v>
      </c>
      <c r="H9" s="64">
        <f t="shared" si="0"/>
        <v>370254654.14713579</v>
      </c>
      <c r="I9" s="64">
        <f t="shared" si="0"/>
        <v>381921686.1042158</v>
      </c>
      <c r="J9" s="64">
        <f t="shared" si="0"/>
        <v>393531511.31115735</v>
      </c>
    </row>
    <row r="10" spans="1:19" s="59" customFormat="1" x14ac:dyDescent="0.25">
      <c r="A10" s="70"/>
      <c r="B10" s="69"/>
      <c r="C10" s="88"/>
      <c r="D10" s="68"/>
      <c r="E10" s="12"/>
      <c r="F10" s="12"/>
      <c r="G10" s="12"/>
      <c r="H10" s="12"/>
      <c r="I10" s="12"/>
      <c r="J10" s="12"/>
      <c r="K10"/>
      <c r="L10"/>
      <c r="M10"/>
      <c r="N10"/>
      <c r="O10"/>
      <c r="P10"/>
      <c r="Q10"/>
      <c r="R10"/>
      <c r="S10"/>
    </row>
    <row r="11" spans="1:19" ht="15.75" x14ac:dyDescent="0.25">
      <c r="A11" s="32"/>
      <c r="B11" s="31" t="s">
        <v>71</v>
      </c>
      <c r="C11" s="31"/>
      <c r="D11" s="31"/>
      <c r="E11" s="31"/>
      <c r="F11" s="31"/>
      <c r="G11" s="31"/>
      <c r="H11" s="31"/>
      <c r="I11" s="31"/>
      <c r="J11" s="31"/>
    </row>
    <row r="12" spans="1:19" x14ac:dyDescent="0.25">
      <c r="A12" s="20">
        <f>MAX(A$5:A11)+1</f>
        <v>6</v>
      </c>
      <c r="B12" s="61"/>
      <c r="C12" s="61" t="s">
        <v>72</v>
      </c>
      <c r="D12" s="83"/>
      <c r="E12" s="83">
        <f t="shared" ref="E12:J12" si="1">+E5/E4</f>
        <v>0.43116127604766247</v>
      </c>
      <c r="F12" s="83">
        <f t="shared" si="1"/>
        <v>0.42910812711410212</v>
      </c>
      <c r="G12" s="83">
        <f t="shared" si="1"/>
        <v>0.4274497382170428</v>
      </c>
      <c r="H12" s="83">
        <f t="shared" si="1"/>
        <v>0.43327296653478231</v>
      </c>
      <c r="I12" s="83">
        <f t="shared" si="1"/>
        <v>0.43917552578902419</v>
      </c>
      <c r="J12" s="83">
        <f t="shared" si="1"/>
        <v>0.44278228131482777</v>
      </c>
    </row>
    <row r="13" spans="1:19" x14ac:dyDescent="0.25">
      <c r="A13" s="23">
        <f>MAX(A$5:A12)+1</f>
        <v>7</v>
      </c>
      <c r="B13" s="82"/>
      <c r="C13" s="82" t="s">
        <v>73</v>
      </c>
      <c r="D13" s="85"/>
      <c r="E13" s="85">
        <f t="shared" ref="E13:J13" si="2">+E6/E4</f>
        <v>0.32297321114521454</v>
      </c>
      <c r="F13" s="85">
        <f t="shared" si="2"/>
        <v>0.31300718062987648</v>
      </c>
      <c r="G13" s="85">
        <f t="shared" si="2"/>
        <v>0.30242239674384203</v>
      </c>
      <c r="H13" s="85">
        <f t="shared" si="2"/>
        <v>0.29219555240950928</v>
      </c>
      <c r="I13" s="85">
        <f t="shared" si="2"/>
        <v>0.28231454339083017</v>
      </c>
      <c r="J13" s="85">
        <f t="shared" si="2"/>
        <v>0.27276767477374897</v>
      </c>
    </row>
    <row r="14" spans="1:19" x14ac:dyDescent="0.25">
      <c r="A14" s="20">
        <f>MAX(A$5:A13)+1</f>
        <v>8</v>
      </c>
      <c r="B14" s="61"/>
      <c r="C14" s="61" t="s">
        <v>74</v>
      </c>
      <c r="D14" s="83"/>
      <c r="E14" s="83">
        <f t="shared" ref="E14:J14" si="3">+E7/E4</f>
        <v>6.7370354151241443E-2</v>
      </c>
      <c r="F14" s="83">
        <f t="shared" si="3"/>
        <v>6.416224204880136E-2</v>
      </c>
      <c r="G14" s="83">
        <f t="shared" si="3"/>
        <v>6.2476166350071236E-2</v>
      </c>
      <c r="H14" s="83">
        <f t="shared" si="3"/>
        <v>6.0362771672245706E-2</v>
      </c>
      <c r="I14" s="83">
        <f t="shared" si="3"/>
        <v>5.832086724942772E-2</v>
      </c>
      <c r="J14" s="83">
        <f t="shared" si="3"/>
        <v>5.6348034765429288E-2</v>
      </c>
    </row>
    <row r="15" spans="1:19" x14ac:dyDescent="0.25">
      <c r="A15" s="87"/>
      <c r="B15" s="43"/>
      <c r="C15" s="81"/>
      <c r="D15" s="81"/>
      <c r="E15" s="85">
        <f t="shared" ref="E15:J15" si="4">SUM(E12:E14)</f>
        <v>0.8215048413441185</v>
      </c>
      <c r="F15" s="85">
        <f t="shared" si="4"/>
        <v>0.80627754979277999</v>
      </c>
      <c r="G15" s="85">
        <f t="shared" si="4"/>
        <v>0.79234830131095602</v>
      </c>
      <c r="H15" s="85">
        <f t="shared" si="4"/>
        <v>0.78583129061653723</v>
      </c>
      <c r="I15" s="85">
        <f t="shared" si="4"/>
        <v>0.77981093642928212</v>
      </c>
      <c r="J15" s="85">
        <f t="shared" si="4"/>
        <v>0.77189799085400601</v>
      </c>
    </row>
    <row r="16" spans="1:19" ht="15.75" x14ac:dyDescent="0.25">
      <c r="A16" s="32"/>
      <c r="B16" s="31" t="s">
        <v>75</v>
      </c>
      <c r="C16" s="31"/>
      <c r="D16" s="31"/>
      <c r="E16" s="31"/>
      <c r="F16" s="31"/>
      <c r="G16" s="31"/>
      <c r="H16" s="31"/>
      <c r="I16" s="31"/>
      <c r="J16" s="31"/>
    </row>
    <row r="17" spans="1:10" x14ac:dyDescent="0.25">
      <c r="A17" s="84">
        <f>MAX(A$5:A16)+1</f>
        <v>9</v>
      </c>
      <c r="B17" s="61"/>
      <c r="C17" s="61" t="s">
        <v>76</v>
      </c>
      <c r="D17" s="61"/>
      <c r="E17" s="83">
        <f t="shared" ref="E17:J17" si="5">+E4/E9</f>
        <v>0.5489966193348591</v>
      </c>
      <c r="F17" s="83">
        <f t="shared" si="5"/>
        <v>0.55362477384205</v>
      </c>
      <c r="G17" s="83">
        <f t="shared" si="5"/>
        <v>0.55792727299073608</v>
      </c>
      <c r="H17" s="83">
        <f t="shared" si="5"/>
        <v>0.55996330966670527</v>
      </c>
      <c r="I17" s="83">
        <f t="shared" si="5"/>
        <v>0.56185743077084038</v>
      </c>
      <c r="J17" s="83">
        <f t="shared" si="5"/>
        <v>0.56436657480379415</v>
      </c>
    </row>
    <row r="18" spans="1:10" x14ac:dyDescent="0.25">
      <c r="A18" s="86">
        <f>MAX(A$5:A17)+1</f>
        <v>10</v>
      </c>
      <c r="B18" s="82"/>
      <c r="C18" s="82" t="s">
        <v>77</v>
      </c>
      <c r="D18" s="82"/>
      <c r="E18" s="85">
        <f t="shared" ref="E18:J18" si="6">+E5/E9</f>
        <v>0.23670608293827067</v>
      </c>
      <c r="F18" s="85">
        <f t="shared" si="6"/>
        <v>0.2375648898273304</v>
      </c>
      <c r="G18" s="85">
        <f t="shared" si="6"/>
        <v>0.23848586678403869</v>
      </c>
      <c r="H18" s="85">
        <f t="shared" si="6"/>
        <v>0.2426169643299283</v>
      </c>
      <c r="I18" s="85">
        <f t="shared" si="6"/>
        <v>0.24675403257725409</v>
      </c>
      <c r="J18" s="85">
        <f t="shared" si="6"/>
        <v>0.24989151948945937</v>
      </c>
    </row>
    <row r="19" spans="1:10" x14ac:dyDescent="0.25">
      <c r="A19" s="84">
        <f>MAX(A$5:A18)+1</f>
        <v>11</v>
      </c>
      <c r="B19" s="61"/>
      <c r="C19" s="61" t="s">
        <v>78</v>
      </c>
      <c r="D19" s="61"/>
      <c r="E19" s="83">
        <f t="shared" ref="E19:J19" si="7">+E6/E9</f>
        <v>0.17731120105444642</v>
      </c>
      <c r="F19" s="83">
        <f t="shared" si="7"/>
        <v>0.17328852958715305</v>
      </c>
      <c r="G19" s="83">
        <f t="shared" si="7"/>
        <v>0.16872970310661425</v>
      </c>
      <c r="H19" s="83">
        <f t="shared" si="7"/>
        <v>0.16361878859712004</v>
      </c>
      <c r="I19" s="83">
        <f t="shared" si="7"/>
        <v>0.1586205240188148</v>
      </c>
      <c r="J19" s="83">
        <f t="shared" si="7"/>
        <v>0.153940958329256</v>
      </c>
    </row>
    <row r="20" spans="1:10" x14ac:dyDescent="0.25">
      <c r="A20" s="74">
        <f>MAX(A$5:A19)+1</f>
        <v>12</v>
      </c>
      <c r="B20" s="43"/>
      <c r="C20" s="82" t="s">
        <v>79</v>
      </c>
      <c r="D20" s="81"/>
      <c r="E20" s="80">
        <f t="shared" ref="E20:J20" si="8">+E7/E9</f>
        <v>3.6986096672423745E-2</v>
      </c>
      <c r="F20" s="80">
        <f t="shared" si="8"/>
        <v>3.5521806743466527E-2</v>
      </c>
      <c r="G20" s="80">
        <f t="shared" si="8"/>
        <v>3.4857157118610829E-2</v>
      </c>
      <c r="H20" s="80">
        <f t="shared" si="8"/>
        <v>3.3800937406246345E-2</v>
      </c>
      <c r="I20" s="80">
        <f t="shared" si="8"/>
        <v>3.2768012633090704E-2</v>
      </c>
      <c r="J20" s="80">
        <f t="shared" si="8"/>
        <v>3.1800947377490438E-2</v>
      </c>
    </row>
    <row r="21" spans="1:10" ht="15.75" x14ac:dyDescent="0.25">
      <c r="A21" s="32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5.75" thickBot="1" x14ac:dyDescent="0.3">
      <c r="A22" s="79"/>
      <c r="B22" s="79"/>
      <c r="C22" s="78"/>
      <c r="D22" s="78"/>
      <c r="E22" s="78"/>
      <c r="F22" s="78"/>
      <c r="G22" s="78"/>
      <c r="H22" s="78"/>
      <c r="I22" s="78"/>
      <c r="J22" s="78"/>
    </row>
    <row r="23" spans="1:10" ht="18" thickTop="1" x14ac:dyDescent="0.25">
      <c r="A23" s="77"/>
      <c r="B23" s="76" t="s">
        <v>80</v>
      </c>
      <c r="C23" s="76"/>
      <c r="D23" s="75"/>
      <c r="E23" s="75"/>
      <c r="F23" s="75"/>
      <c r="G23" s="75"/>
      <c r="H23" s="75"/>
      <c r="I23" s="75"/>
      <c r="J23" s="75"/>
    </row>
    <row r="24" spans="1:10" ht="15.75" x14ac:dyDescent="0.25">
      <c r="A24" s="32"/>
      <c r="B24" s="31" t="s">
        <v>81</v>
      </c>
      <c r="C24" s="31"/>
      <c r="D24" s="31"/>
      <c r="E24" s="31"/>
      <c r="F24" s="31"/>
      <c r="G24" s="31"/>
      <c r="H24" s="31"/>
      <c r="I24" s="31"/>
      <c r="J24" s="31"/>
    </row>
    <row r="25" spans="1:10" x14ac:dyDescent="0.25">
      <c r="A25" s="70">
        <f>MAX(A$5:A24)+1</f>
        <v>13</v>
      </c>
      <c r="B25" s="69"/>
      <c r="C25" s="38" t="s">
        <v>82</v>
      </c>
      <c r="D25" s="68"/>
      <c r="E25" s="68">
        <v>158829854.30819824</v>
      </c>
      <c r="F25" s="68">
        <v>166771347.02360818</v>
      </c>
      <c r="G25" s="68">
        <v>172608344.16943446</v>
      </c>
      <c r="H25" s="68">
        <v>178649636.21536463</v>
      </c>
      <c r="I25" s="68">
        <v>184902373.48290241</v>
      </c>
      <c r="J25" s="68">
        <v>191373956.554804</v>
      </c>
    </row>
    <row r="26" spans="1:10" x14ac:dyDescent="0.25">
      <c r="A26" s="74">
        <f>MAX(A$5:A25)+1</f>
        <v>14</v>
      </c>
      <c r="B26" s="72"/>
      <c r="C26" s="73" t="s">
        <v>83</v>
      </c>
      <c r="D26" s="72"/>
      <c r="E26" s="71">
        <v>25497631.5192036</v>
      </c>
      <c r="F26" s="71">
        <v>26772513.095163777</v>
      </c>
      <c r="G26" s="71">
        <v>27709551.053494506</v>
      </c>
      <c r="H26" s="71">
        <v>28679385.340366814</v>
      </c>
      <c r="I26" s="71">
        <v>29683163.82727965</v>
      </c>
      <c r="J26" s="71">
        <v>30722074.561234433</v>
      </c>
    </row>
    <row r="27" spans="1:10" x14ac:dyDescent="0.25">
      <c r="A27" s="70"/>
      <c r="B27" s="69"/>
      <c r="C27" s="38"/>
      <c r="D27" s="68"/>
      <c r="E27" s="68"/>
      <c r="F27" s="68"/>
      <c r="G27" s="68"/>
      <c r="H27" s="68"/>
      <c r="I27" s="68"/>
      <c r="J27" s="68"/>
    </row>
    <row r="28" spans="1:10" s="59" customFormat="1" x14ac:dyDescent="0.25">
      <c r="A28" s="67">
        <f>MAX(A$5:A27)+1</f>
        <v>15</v>
      </c>
      <c r="B28" s="65"/>
      <c r="C28" s="66" t="s">
        <v>30</v>
      </c>
      <c r="D28" s="65"/>
      <c r="E28" s="64">
        <f t="shared" ref="E28:J28" si="9">SUM(E25:E27)</f>
        <v>184327485.82740185</v>
      </c>
      <c r="F28" s="64">
        <f t="shared" si="9"/>
        <v>193543860.11877197</v>
      </c>
      <c r="G28" s="64">
        <f t="shared" si="9"/>
        <v>200317895.22292897</v>
      </c>
      <c r="H28" s="64">
        <f t="shared" si="9"/>
        <v>207329021.55573145</v>
      </c>
      <c r="I28" s="64">
        <f t="shared" si="9"/>
        <v>214585537.31018206</v>
      </c>
      <c r="J28" s="64">
        <f t="shared" si="9"/>
        <v>222096031.11603844</v>
      </c>
    </row>
    <row r="29" spans="1:10" x14ac:dyDescent="0.25">
      <c r="A29" s="70"/>
      <c r="B29" s="69"/>
      <c r="C29" s="38"/>
      <c r="D29" s="68"/>
      <c r="E29" s="68"/>
      <c r="F29" s="68"/>
      <c r="G29" s="68"/>
      <c r="H29" s="68"/>
      <c r="I29" s="68"/>
      <c r="J29" s="68"/>
    </row>
    <row r="30" spans="1:10" s="59" customFormat="1" x14ac:dyDescent="0.25">
      <c r="A30" s="67">
        <f>MAX(A$5:A29)+1</f>
        <v>16</v>
      </c>
      <c r="B30" s="65"/>
      <c r="C30" s="66" t="s">
        <v>84</v>
      </c>
      <c r="D30" s="65"/>
      <c r="E30" s="64">
        <f t="shared" ref="E30:J30" si="10">+E4-E28</f>
        <v>0</v>
      </c>
      <c r="F30" s="64">
        <f t="shared" si="10"/>
        <v>0</v>
      </c>
      <c r="G30" s="64">
        <f t="shared" si="10"/>
        <v>0</v>
      </c>
      <c r="H30" s="64">
        <f t="shared" si="10"/>
        <v>0</v>
      </c>
      <c r="I30" s="64">
        <f t="shared" si="10"/>
        <v>0</v>
      </c>
      <c r="J30" s="64">
        <f t="shared" si="10"/>
        <v>0</v>
      </c>
    </row>
    <row r="31" spans="1:10" ht="15.75" x14ac:dyDescent="0.25">
      <c r="A31" s="32"/>
      <c r="B31" s="31"/>
      <c r="C31" s="31"/>
      <c r="D31" s="31"/>
      <c r="E31" s="31"/>
      <c r="F31" s="31"/>
      <c r="G31" s="31"/>
      <c r="H31" s="31"/>
      <c r="I31" s="31"/>
      <c r="J31" s="31"/>
    </row>
    <row r="33" spans="1:11" ht="15.75" x14ac:dyDescent="0.25">
      <c r="A33" s="32"/>
      <c r="B33" s="31" t="s">
        <v>85</v>
      </c>
      <c r="C33" s="31"/>
      <c r="D33" s="31"/>
      <c r="E33" s="31"/>
      <c r="F33" s="31"/>
      <c r="G33" s="31"/>
      <c r="H33" s="31"/>
      <c r="I33" s="31"/>
      <c r="J33" s="31"/>
    </row>
    <row r="34" spans="1:11" x14ac:dyDescent="0.25">
      <c r="A34" s="74">
        <f>+A30+1</f>
        <v>17</v>
      </c>
      <c r="B34" s="72" t="s">
        <v>70</v>
      </c>
      <c r="C34" s="73" t="s">
        <v>27</v>
      </c>
      <c r="D34" s="72"/>
      <c r="E34" s="71">
        <f>+E5+'OM Adj 6'!C26+'OM Adj 8'!C39</f>
        <v>79474874</v>
      </c>
      <c r="F34" s="71">
        <f>+F5+'OM Adj 6'!D26+'OM Adj 8'!D39</f>
        <v>83774243.329999998</v>
      </c>
      <c r="G34" s="71">
        <f>+G5+'OM Adj 6'!E26+'OM Adj 8'!E39</f>
        <v>87657831.873229995</v>
      </c>
      <c r="H34" s="71">
        <f>+H5+'OM Adj 6'!F26+'OM Adj 8'!F39</f>
        <v>92000060.218205586</v>
      </c>
      <c r="I34" s="71">
        <f>+I5+'OM Adj 6'!G26+'OM Adj 8'!G39</f>
        <v>96589716.174919471</v>
      </c>
      <c r="J34" s="71">
        <f>+J5+'OM Adj 6'!H26+'OM Adj 8'!H39</f>
        <v>100846187.32852848</v>
      </c>
    </row>
    <row r="35" spans="1:11" x14ac:dyDescent="0.25">
      <c r="A35" s="70">
        <f>MAX(A$5:A34)+1</f>
        <v>18</v>
      </c>
      <c r="B35" s="69">
        <v>191</v>
      </c>
      <c r="C35" s="38" t="s">
        <v>28</v>
      </c>
      <c r="D35" s="68"/>
      <c r="E35" s="68">
        <f>+E6+'OM Adj 6'!C27+'OM Adj 8'!C40</f>
        <v>59532840</v>
      </c>
      <c r="F35" s="68">
        <f>+F6+'OM Adj 6'!D27+'OM Adj 8'!D40</f>
        <v>61108617.984000005</v>
      </c>
      <c r="G35" s="68">
        <f>+G6+'OM Adj 6'!E27+'OM Adj 8'!E40</f>
        <v>62018617.984000005</v>
      </c>
      <c r="H35" s="68">
        <f>+H6+'OM Adj 6'!F27+'OM Adj 8'!F40</f>
        <v>62043617.984000005</v>
      </c>
      <c r="I35" s="68">
        <f>+I6+'OM Adj 6'!G27+'OM Adj 8'!G40</f>
        <v>62091617.984000005</v>
      </c>
      <c r="J35" s="68">
        <f>+J6+'OM Adj 6'!H27+'OM Adj 8'!H40</f>
        <v>62124617.984000005</v>
      </c>
    </row>
    <row r="36" spans="1:11" x14ac:dyDescent="0.25">
      <c r="A36" s="74">
        <f>MAX(A$5:A35)+1</f>
        <v>19</v>
      </c>
      <c r="B36" s="72">
        <v>190</v>
      </c>
      <c r="C36" s="73" t="s">
        <v>29</v>
      </c>
      <c r="D36" s="72"/>
      <c r="E36" s="71">
        <f>+E7+'OM Adj 6'!C28+'OM Adj 8'!C41</f>
        <v>12418208</v>
      </c>
      <c r="F36" s="71">
        <f>+F7+'OM Adj 6'!D28+'OM Adj 8'!D41</f>
        <v>12526208</v>
      </c>
      <c r="G36" s="71">
        <f>+G7+'OM Adj 6'!E28+'OM Adj 8'!E41</f>
        <v>12812094.14484385</v>
      </c>
      <c r="H36" s="71">
        <f>+H7+'OM Adj 6'!F28+'OM Adj 8'!F41</f>
        <v>12816954.389198726</v>
      </c>
      <c r="I36" s="71">
        <f>+I7+'OM Adj 6'!G28+'OM Adj 8'!G41</f>
        <v>12826814.635114247</v>
      </c>
      <c r="J36" s="71">
        <f>+J7+'OM Adj 6'!H28+'OM Adj 8'!H41</f>
        <v>12833674.882590398</v>
      </c>
    </row>
    <row r="44" spans="1:11" x14ac:dyDescent="0.25">
      <c r="E44" s="14"/>
      <c r="F44" s="14"/>
      <c r="G44" s="14"/>
      <c r="H44" s="14"/>
      <c r="I44" s="14"/>
      <c r="J44" s="14"/>
      <c r="K44" s="14"/>
    </row>
    <row r="45" spans="1:11" x14ac:dyDescent="0.25">
      <c r="E45" s="14"/>
      <c r="F45" s="14"/>
      <c r="G45" s="14"/>
      <c r="H45" s="14"/>
      <c r="I45" s="14"/>
      <c r="J45" s="14"/>
      <c r="K45" s="14"/>
    </row>
    <row r="46" spans="1:11" x14ac:dyDescent="0.25">
      <c r="E46" s="14"/>
      <c r="F46" s="14"/>
      <c r="G46" s="14"/>
      <c r="H46" s="14"/>
      <c r="I46" s="14"/>
      <c r="J46" s="14"/>
      <c r="K4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30F65-E6E0-4F27-9AF9-7460BC8CD9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A05FB9-DED7-498D-B068-F83BF19ADA65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3.xml><?xml version="1.0" encoding="utf-8"?>
<ds:datastoreItem xmlns:ds="http://schemas.openxmlformats.org/officeDocument/2006/customXml" ds:itemID="{483A7911-1573-4897-9C06-B31FE4CEB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 Adj 6</vt:lpstr>
      <vt:lpstr>OM Adj 8</vt:lpstr>
      <vt:lpstr>Pension &amp; Fringes 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Jagt, Dave A.</dc:creator>
  <cp:keywords/>
  <dc:description/>
  <cp:lastModifiedBy>Daniel Cantu-Hertzler</cp:lastModifiedBy>
  <cp:revision/>
  <dcterms:created xsi:type="dcterms:W3CDTF">2025-04-01T00:21:21Z</dcterms:created>
  <dcterms:modified xsi:type="dcterms:W3CDTF">2025-04-02T14:18:59Z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