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ila-my.sharepoint.com/personal/daniel_cantu-hertzler_phila_gov/Documents/H DRIVE/Regulatory Law/Water Rate Board/2025 General/"/>
    </mc:Choice>
  </mc:AlternateContent>
  <xr:revisionPtr revIDLastSave="0" documentId="8_{86CD7F8F-FC86-4146-AB82-F2AC26C3B69A}" xr6:coauthVersionLast="47" xr6:coauthVersionMax="47" xr10:uidLastSave="{00000000-0000-0000-0000-000000000000}"/>
  <bookViews>
    <workbookView xWindow="30510" yWindow="1110" windowWidth="24360" windowHeight="13620" activeTab="1" xr2:uid="{00000000-000D-0000-FFFF-FFFF00000000}"/>
  </bookViews>
  <sheets>
    <sheet name="Info" sheetId="5" r:id="rId1"/>
    <sheet name="Water" sheetId="1" r:id="rId2"/>
    <sheet name="Retiree Costs" sheetId="7" r:id="rId3"/>
    <sheet name="Pension NEW7.30% in FYP Sc2 (3)" sheetId="10" r:id="rId4"/>
    <sheet name="PensionObligation Bonds 0190" sheetId="6" r:id="rId5"/>
    <sheet name="POB Rates in FYP by Fund" sheetId="8" r:id="rId6"/>
    <sheet name="Employee Disability" sheetId="2" r:id="rId7"/>
    <sheet name="FICA Projection" sheetId="3" r:id="rId8"/>
    <sheet name="GF Growth Rates" sheetId="9" r:id="rId9"/>
  </sheets>
  <definedNames>
    <definedName name="Medicare">'FICA Projection'!$O$3</definedName>
    <definedName name="_xlnm.Print_Area" localSheetId="6">'Employee Disability'!$C$3:$R$25</definedName>
    <definedName name="_xlnm.Print_Area" localSheetId="7">'FICA Projection'!$B$1:$M$79</definedName>
    <definedName name="_xlnm.Print_Area" localSheetId="0">Info!$A$3:$M$25</definedName>
    <definedName name="_xlnm.Print_Area" localSheetId="3">'Pension NEW7.30% in FYP Sc2 (3)'!$A$1:$K$37</definedName>
    <definedName name="_xlnm.Print_Area" localSheetId="4">'PensionObligation Bonds 0190'!$B$1:$H$10</definedName>
    <definedName name="_xlnm.Print_Area" localSheetId="2">'Retiree Costs'!$B$1:$G$19</definedName>
    <definedName name="_xlnm.Print_Area" localSheetId="1">Water!$B$1:$S$23</definedName>
    <definedName name="RevRecPol">Water!$O$23</definedName>
    <definedName name="Salary_Growth">'FICA Projection'!$O$4</definedName>
    <definedName name="SocSec">'FICA Projection'!$O$2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1" i="1" l="1"/>
  <c r="V81" i="1"/>
  <c r="Y81" i="1" s="1"/>
  <c r="U81" i="1"/>
  <c r="T81" i="1"/>
  <c r="J25" i="6"/>
  <c r="J24" i="6"/>
  <c r="J23" i="6"/>
  <c r="J22" i="6"/>
  <c r="J21" i="6"/>
  <c r="J20" i="6"/>
  <c r="J19" i="6"/>
  <c r="J18" i="6"/>
  <c r="J17" i="6"/>
  <c r="J16" i="6"/>
  <c r="J15" i="6"/>
  <c r="Z79" i="1"/>
  <c r="Y79" i="1"/>
  <c r="Z78" i="1"/>
  <c r="Z77" i="1"/>
  <c r="Y78" i="1"/>
  <c r="Y77" i="1"/>
  <c r="W79" i="1"/>
  <c r="W78" i="1"/>
  <c r="W77" i="1"/>
  <c r="W76" i="1"/>
  <c r="W68" i="1"/>
  <c r="W67" i="1"/>
  <c r="W66" i="1"/>
  <c r="W70" i="1" s="1"/>
  <c r="R68" i="1" l="1"/>
  <c r="R67" i="1"/>
  <c r="R66" i="1"/>
  <c r="R70" i="1" l="1"/>
  <c r="R74" i="1" s="1"/>
  <c r="S79" i="1"/>
  <c r="R78" i="1"/>
  <c r="Q78" i="1"/>
  <c r="V76" i="1"/>
  <c r="U76" i="1"/>
  <c r="T76" i="1"/>
  <c r="S76" i="1"/>
  <c r="R76" i="1"/>
  <c r="Q76" i="1"/>
  <c r="N71" i="1"/>
  <c r="M71" i="1"/>
  <c r="V70" i="1"/>
  <c r="V71" i="1" s="1"/>
  <c r="U70" i="1"/>
  <c r="U71" i="1" s="1"/>
  <c r="N70" i="1"/>
  <c r="M70" i="1"/>
  <c r="L70" i="1"/>
  <c r="V68" i="1"/>
  <c r="V79" i="1" s="1"/>
  <c r="U68" i="1"/>
  <c r="T68" i="1"/>
  <c r="U79" i="1" s="1"/>
  <c r="S68" i="1"/>
  <c r="R79" i="1"/>
  <c r="Q68" i="1"/>
  <c r="Q79" i="1" s="1"/>
  <c r="P68" i="1"/>
  <c r="O68" i="1"/>
  <c r="N68" i="1"/>
  <c r="M68" i="1"/>
  <c r="L68" i="1"/>
  <c r="V67" i="1"/>
  <c r="V78" i="1" s="1"/>
  <c r="U67" i="1"/>
  <c r="U78" i="1" s="1"/>
  <c r="T67" i="1"/>
  <c r="T78" i="1" s="1"/>
  <c r="S67" i="1"/>
  <c r="S78" i="1" s="1"/>
  <c r="Q67" i="1"/>
  <c r="P67" i="1"/>
  <c r="O67" i="1"/>
  <c r="N67" i="1"/>
  <c r="M67" i="1"/>
  <c r="L67" i="1"/>
  <c r="V66" i="1"/>
  <c r="V77" i="1" s="1"/>
  <c r="U66" i="1"/>
  <c r="U77" i="1" s="1"/>
  <c r="T66" i="1"/>
  <c r="T70" i="1" s="1"/>
  <c r="T71" i="1" s="1"/>
  <c r="S66" i="1"/>
  <c r="S70" i="1" s="1"/>
  <c r="S71" i="1" s="1"/>
  <c r="Q66" i="1"/>
  <c r="Q70" i="1" s="1"/>
  <c r="P66" i="1"/>
  <c r="P70" i="1" s="1"/>
  <c r="P71" i="1" s="1"/>
  <c r="O66" i="1"/>
  <c r="O70" i="1" s="1"/>
  <c r="N66" i="1"/>
  <c r="M66" i="1"/>
  <c r="L66" i="1"/>
  <c r="O74" i="1" l="1"/>
  <c r="O71" i="1"/>
  <c r="Q77" i="1"/>
  <c r="T79" i="1"/>
  <c r="R77" i="1"/>
  <c r="S77" i="1"/>
  <c r="T77" i="1"/>
  <c r="C14" i="10" l="1"/>
  <c r="D14" i="10"/>
  <c r="D26" i="10" s="1"/>
  <c r="F14" i="10"/>
  <c r="F26" i="10" s="1"/>
  <c r="F39" i="10" s="1"/>
  <c r="D15" i="10"/>
  <c r="F15" i="10"/>
  <c r="G15" i="10"/>
  <c r="H15" i="10"/>
  <c r="I15" i="10"/>
  <c r="J15" i="10"/>
  <c r="K15" i="10"/>
  <c r="D16" i="10"/>
  <c r="F16" i="10"/>
  <c r="G16" i="10"/>
  <c r="H16" i="10"/>
  <c r="I16" i="10"/>
  <c r="J16" i="10"/>
  <c r="K16" i="10"/>
  <c r="D17" i="10"/>
  <c r="F17" i="10"/>
  <c r="G17" i="10"/>
  <c r="H17" i="10"/>
  <c r="I17" i="10"/>
  <c r="J17" i="10"/>
  <c r="K17" i="10"/>
  <c r="D18" i="10"/>
  <c r="F18" i="10"/>
  <c r="G18" i="10"/>
  <c r="H18" i="10"/>
  <c r="I18" i="10"/>
  <c r="J18" i="10"/>
  <c r="K18" i="10"/>
  <c r="D19" i="10"/>
  <c r="F19" i="10"/>
  <c r="G19" i="10"/>
  <c r="H19" i="10"/>
  <c r="I19" i="10"/>
  <c r="J19" i="10"/>
  <c r="K19" i="10"/>
  <c r="D20" i="10"/>
  <c r="F20" i="10"/>
  <c r="G20" i="10"/>
  <c r="H20" i="10"/>
  <c r="I20" i="10"/>
  <c r="J20" i="10"/>
  <c r="K20" i="10"/>
  <c r="D21" i="10"/>
  <c r="F21" i="10"/>
  <c r="G21" i="10"/>
  <c r="H21" i="10"/>
  <c r="I21" i="10"/>
  <c r="J21" i="10"/>
  <c r="K21" i="10"/>
  <c r="G22" i="10"/>
  <c r="G14" i="10" s="1"/>
  <c r="H22" i="10"/>
  <c r="H14" i="10" s="1"/>
  <c r="I22" i="10"/>
  <c r="J22" i="10" s="1"/>
  <c r="D23" i="10"/>
  <c r="F23" i="10"/>
  <c r="G23" i="10"/>
  <c r="H23" i="10"/>
  <c r="I23" i="10"/>
  <c r="J23" i="10"/>
  <c r="K23" i="10"/>
  <c r="D24" i="10"/>
  <c r="F24" i="10"/>
  <c r="G24" i="10"/>
  <c r="H24" i="10"/>
  <c r="I24" i="10"/>
  <c r="J24" i="10"/>
  <c r="K24" i="10"/>
  <c r="D25" i="10"/>
  <c r="F25" i="10"/>
  <c r="G25" i="10"/>
  <c r="H25" i="10"/>
  <c r="I25" i="10"/>
  <c r="J25" i="10"/>
  <c r="K25" i="10"/>
  <c r="C26" i="10"/>
  <c r="E26" i="10"/>
  <c r="F44" i="10"/>
  <c r="G44" i="10"/>
  <c r="H44" i="10"/>
  <c r="I44" i="10"/>
  <c r="J44" i="10"/>
  <c r="K22" i="10" l="1"/>
  <c r="K14" i="10" s="1"/>
  <c r="J14" i="10"/>
  <c r="H26" i="10"/>
  <c r="H39" i="10" s="1"/>
  <c r="H35" i="10"/>
  <c r="G35" i="10"/>
  <c r="G26" i="10"/>
  <c r="G39" i="10" s="1"/>
  <c r="I14" i="10"/>
  <c r="I35" i="10" l="1"/>
  <c r="K37" i="10" s="1"/>
  <c r="I26" i="10"/>
  <c r="I39" i="10" s="1"/>
  <c r="K43" i="10"/>
  <c r="K44" i="10" s="1"/>
  <c r="L43" i="10" s="1"/>
  <c r="K35" i="10"/>
  <c r="K26" i="10"/>
  <c r="K39" i="10" s="1"/>
  <c r="J26" i="10"/>
  <c r="J39" i="10" s="1"/>
  <c r="J35" i="10"/>
  <c r="M21" i="2" l="1"/>
  <c r="T13" i="1"/>
  <c r="U13" i="1" s="1"/>
  <c r="V13" i="1" s="1"/>
  <c r="W13" i="1" s="1"/>
  <c r="W10" i="1"/>
  <c r="V10" i="1"/>
  <c r="U10" i="1"/>
  <c r="T10" i="1"/>
  <c r="O2" i="3"/>
  <c r="O3" i="3"/>
  <c r="J36" i="3" l="1"/>
  <c r="J34" i="3"/>
  <c r="H38" i="3"/>
  <c r="J38" i="3" s="1"/>
  <c r="H36" i="3"/>
  <c r="H34" i="3"/>
  <c r="F38" i="3"/>
  <c r="F36" i="3"/>
  <c r="B48" i="3"/>
  <c r="B46" i="3"/>
  <c r="R122" i="3"/>
  <c r="D38" i="3" s="1"/>
  <c r="R97" i="3"/>
  <c r="D36" i="3" s="1"/>
  <c r="S127" i="3"/>
  <c r="W20" i="1"/>
  <c r="K26" i="8"/>
  <c r="J26" i="8"/>
  <c r="I26" i="8"/>
  <c r="H26" i="8"/>
  <c r="G26" i="8"/>
  <c r="F26" i="8"/>
  <c r="U9" i="1"/>
  <c r="V9" i="1" s="1"/>
  <c r="W9" i="1" s="1"/>
  <c r="U8" i="1"/>
  <c r="V8" i="1" s="1"/>
  <c r="W8" i="1" s="1"/>
  <c r="T9" i="1"/>
  <c r="T8" i="1"/>
  <c r="U16" i="2"/>
  <c r="S16" i="2"/>
  <c r="R16" i="2"/>
  <c r="M19" i="2"/>
  <c r="F20" i="2"/>
  <c r="G20" i="2"/>
  <c r="H21" i="2"/>
  <c r="V15" i="2"/>
  <c r="U15" i="2"/>
  <c r="V13" i="2"/>
  <c r="K12" i="7" l="1"/>
  <c r="J12" i="7"/>
  <c r="Q22" i="1"/>
  <c r="O23" i="1" l="1"/>
  <c r="V20" i="1"/>
  <c r="P23" i="1"/>
  <c r="Q23" i="1" s="1"/>
  <c r="P11" i="1" l="1"/>
  <c r="U71" i="3"/>
  <c r="D34" i="3" s="1"/>
  <c r="U13" i="2"/>
  <c r="L19" i="2"/>
  <c r="E19" i="2"/>
  <c r="S11" i="2"/>
  <c r="S9" i="2"/>
  <c r="I12" i="7"/>
  <c r="P20" i="1" l="1"/>
  <c r="AB71" i="3" l="1"/>
  <c r="S13" i="2"/>
  <c r="F21" i="2" s="1"/>
  <c r="H12" i="7"/>
  <c r="G25" i="6" l="1"/>
  <c r="G24" i="6"/>
  <c r="G23" i="6"/>
  <c r="G22" i="6"/>
  <c r="G21" i="6"/>
  <c r="G20" i="6"/>
  <c r="G19" i="6"/>
  <c r="G18" i="6"/>
  <c r="G17" i="6"/>
  <c r="G16" i="6"/>
  <c r="G15" i="6"/>
  <c r="G14" i="6"/>
  <c r="AH71" i="3" l="1"/>
  <c r="G10" i="6" l="1"/>
  <c r="F30" i="3" l="1"/>
  <c r="J30" i="3"/>
  <c r="G12" i="7" l="1"/>
  <c r="F12" i="7"/>
  <c r="E12" i="7"/>
  <c r="D12" i="7"/>
  <c r="E20" i="2" l="1"/>
  <c r="T13" i="2" l="1"/>
  <c r="Q13" i="2"/>
  <c r="M23" i="1"/>
  <c r="L23" i="1"/>
  <c r="S22" i="1"/>
  <c r="G21" i="2" l="1"/>
  <c r="T15" i="2"/>
  <c r="N20" i="1"/>
  <c r="O4" i="3"/>
  <c r="D40" i="3"/>
  <c r="L24" i="3"/>
  <c r="L22" i="3"/>
  <c r="L20" i="3"/>
  <c r="L18" i="3"/>
  <c r="L16" i="3"/>
  <c r="L14" i="3"/>
  <c r="D42" i="3" l="1"/>
  <c r="F32" i="3"/>
  <c r="F34" i="3"/>
  <c r="J32" i="3"/>
  <c r="D63" i="3" l="1"/>
  <c r="D44" i="3"/>
  <c r="D46" i="3" s="1"/>
  <c r="H42" i="3"/>
  <c r="F28" i="3"/>
  <c r="H46" i="3" l="1"/>
  <c r="D48" i="3"/>
  <c r="H48" i="3" s="1"/>
  <c r="D64" i="3"/>
  <c r="H44" i="3"/>
  <c r="J42" i="3"/>
  <c r="L48" i="3" l="1"/>
  <c r="J48" i="3"/>
  <c r="L46" i="3"/>
  <c r="J46" i="3"/>
  <c r="F64" i="3"/>
  <c r="U20" i="1"/>
  <c r="L44" i="3"/>
  <c r="J44" i="3"/>
  <c r="H40" i="3"/>
  <c r="J40" i="3" l="1"/>
  <c r="L42" i="3"/>
  <c r="M20" i="1"/>
  <c r="H56" i="3" l="1"/>
  <c r="L30" i="3" l="1"/>
  <c r="H57" i="3"/>
  <c r="B60" i="3" l="1"/>
  <c r="B61" i="3" s="1"/>
  <c r="B62" i="3" s="1"/>
  <c r="B63" i="3" s="1"/>
  <c r="B64" i="3" s="1"/>
  <c r="T20" i="1" l="1"/>
  <c r="P13" i="2"/>
  <c r="Q15" i="2" l="1"/>
  <c r="D56" i="3" l="1"/>
  <c r="H54" i="3" l="1"/>
  <c r="D55" i="3"/>
  <c r="D24" i="3"/>
  <c r="D54" i="3" s="1"/>
  <c r="B28" i="3"/>
  <c r="B30" i="3" s="1"/>
  <c r="B32" i="3" s="1"/>
  <c r="B34" i="3" s="1"/>
  <c r="B36" i="3" s="1"/>
  <c r="B38" i="3" s="1"/>
  <c r="B40" i="3" s="1"/>
  <c r="B42" i="3" s="1"/>
  <c r="B44" i="3" s="1"/>
  <c r="J26" i="3" l="1"/>
  <c r="L26" i="3"/>
  <c r="L28" i="3"/>
  <c r="H55" i="3"/>
  <c r="F26" i="3"/>
  <c r="J24" i="3" l="1"/>
  <c r="F24" i="3"/>
  <c r="B24" i="3"/>
  <c r="F19" i="2" l="1"/>
  <c r="G19" i="2" l="1"/>
  <c r="H19" i="2" s="1"/>
  <c r="I19" i="2" s="1"/>
  <c r="J19" i="2" s="1"/>
  <c r="K19" i="2" s="1"/>
  <c r="R13" i="2" l="1"/>
  <c r="S15" i="2" s="1"/>
  <c r="O13" i="2"/>
  <c r="T16" i="2" l="1"/>
  <c r="E21" i="2"/>
  <c r="R15" i="2"/>
  <c r="P15" i="2"/>
  <c r="L20" i="1"/>
  <c r="K20" i="1"/>
  <c r="J20" i="1"/>
  <c r="I20" i="1"/>
  <c r="H20" i="1"/>
  <c r="G20" i="1"/>
  <c r="F20" i="1"/>
  <c r="E20" i="1"/>
  <c r="F56" i="3" l="1"/>
  <c r="N13" i="2" l="1"/>
  <c r="O15" i="2" s="1"/>
  <c r="M13" i="2"/>
  <c r="L13" i="2"/>
  <c r="K13" i="2"/>
  <c r="J13" i="2"/>
  <c r="I13" i="2"/>
  <c r="H13" i="2"/>
  <c r="G13" i="2"/>
  <c r="F13" i="2"/>
  <c r="E13" i="2"/>
  <c r="D13" i="2"/>
  <c r="M15" i="2" l="1"/>
  <c r="E15" i="2"/>
  <c r="J15" i="2"/>
  <c r="H15" i="2"/>
  <c r="N15" i="2"/>
  <c r="G15" i="2"/>
  <c r="I15" i="2"/>
  <c r="F15" i="2"/>
  <c r="K15" i="2"/>
  <c r="L15" i="2"/>
  <c r="Q16" i="2" l="1"/>
  <c r="P16" i="2"/>
  <c r="F22" i="2" l="1"/>
  <c r="H22" i="2" l="1"/>
  <c r="I21" i="2"/>
  <c r="G22" i="2"/>
  <c r="J21" i="2" l="1"/>
  <c r="K21" i="2" s="1"/>
  <c r="L21" i="2" s="1"/>
  <c r="I22" i="2"/>
  <c r="L22" i="2" l="1"/>
  <c r="M22" i="2"/>
  <c r="J22" i="2"/>
  <c r="K22" i="2"/>
  <c r="J22" i="3"/>
  <c r="H5" i="1"/>
  <c r="F54" i="3" l="1"/>
  <c r="J18" i="3"/>
  <c r="D20" i="1"/>
  <c r="F55" i="3" l="1"/>
  <c r="J16" i="3"/>
  <c r="J12" i="3"/>
  <c r="J14" i="3"/>
  <c r="F18" i="3" l="1"/>
  <c r="F16" i="3"/>
  <c r="F14" i="3"/>
  <c r="J20" i="3" l="1"/>
  <c r="F20" i="3"/>
  <c r="F22" i="3"/>
  <c r="J28" i="3" l="1"/>
  <c r="D57" i="3" l="1"/>
  <c r="F57" i="3" s="1"/>
  <c r="D58" i="3"/>
  <c r="D59" i="3"/>
  <c r="F58" i="3" l="1"/>
  <c r="D60" i="3"/>
  <c r="D61" i="3"/>
  <c r="L38" i="3"/>
  <c r="F59" i="3"/>
  <c r="F60" i="3" l="1"/>
  <c r="L36" i="3"/>
  <c r="D62" i="3"/>
  <c r="L40" i="3"/>
  <c r="F61" i="3"/>
  <c r="F63" i="3" l="1"/>
  <c r="F62" i="3"/>
  <c r="L34" i="3"/>
  <c r="H58" i="3"/>
  <c r="H59" i="3" l="1"/>
  <c r="H60" i="3" s="1"/>
  <c r="L32" i="3"/>
  <c r="H61" i="3" l="1"/>
  <c r="H62" i="3" s="1"/>
  <c r="O20" i="1"/>
  <c r="H63" i="3" l="1"/>
  <c r="Q20" i="1"/>
  <c r="H64" i="3" l="1"/>
  <c r="R20" i="1"/>
  <c r="S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tc={95750FDD-C7A5-48EE-B051-3817F77177D9}</author>
  </authors>
  <commentList>
    <comment ref="O12" authorId="0" shapeId="0" xr:uid="{95750FDD-C7A5-48EE-B051-3817F77177D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$3.2M of FY20 costs</t>
      </text>
    </comment>
  </commentList>
</comments>
</file>

<file path=xl/sharedStrings.xml><?xml version="1.0" encoding="utf-8"?>
<sst xmlns="http://schemas.openxmlformats.org/spreadsheetml/2006/main" count="455" uniqueCount="283">
  <si>
    <t>Water Fund</t>
  </si>
  <si>
    <t>Sobj</t>
  </si>
  <si>
    <t>Actual</t>
  </si>
  <si>
    <t>Flex Cash</t>
  </si>
  <si>
    <t>0186</t>
  </si>
  <si>
    <t>0187</t>
  </si>
  <si>
    <t>0188</t>
  </si>
  <si>
    <t>0189</t>
  </si>
  <si>
    <t>0190</t>
  </si>
  <si>
    <t>Pension</t>
  </si>
  <si>
    <t>0191</t>
  </si>
  <si>
    <t>FICA</t>
  </si>
  <si>
    <t>0192</t>
  </si>
  <si>
    <t>Health-Medical</t>
  </si>
  <si>
    <t>0193</t>
  </si>
  <si>
    <t>0194</t>
  </si>
  <si>
    <t>0195</t>
  </si>
  <si>
    <t>0196</t>
  </si>
  <si>
    <t>0197</t>
  </si>
  <si>
    <t>Total</t>
  </si>
  <si>
    <t>Budget</t>
  </si>
  <si>
    <t>32-020</t>
  </si>
  <si>
    <t>FY 2016</t>
  </si>
  <si>
    <t>FY2015</t>
  </si>
  <si>
    <t>FY2016</t>
  </si>
  <si>
    <t>Water Operating</t>
  </si>
  <si>
    <t xml:space="preserve">Revised </t>
  </si>
  <si>
    <t>Fiscal</t>
  </si>
  <si>
    <t>% Payroll</t>
  </si>
  <si>
    <t xml:space="preserve">% of </t>
  </si>
  <si>
    <t>Year</t>
  </si>
  <si>
    <t>Payroll</t>
  </si>
  <si>
    <t>Growth</t>
  </si>
  <si>
    <t>Current Plan</t>
  </si>
  <si>
    <t>Revised FICA</t>
  </si>
  <si>
    <t>Workers Compensation -Disability</t>
  </si>
  <si>
    <t>Workers Compensation -Medical</t>
  </si>
  <si>
    <t xml:space="preserve">Pension  Obligation </t>
  </si>
  <si>
    <t>Pension City Matching Funds</t>
  </si>
  <si>
    <t>FY2017</t>
  </si>
  <si>
    <t>FY2014</t>
  </si>
  <si>
    <t>FY2013</t>
  </si>
  <si>
    <t>FY2012</t>
  </si>
  <si>
    <t>FY2011</t>
  </si>
  <si>
    <t>FY2018</t>
  </si>
  <si>
    <t>FY2019</t>
  </si>
  <si>
    <t>Water Fund Operating</t>
  </si>
  <si>
    <t xml:space="preserve">FY23 Estimate </t>
  </si>
  <si>
    <t>APPROPRIATION CONTROL DETAIL INQUIRY</t>
  </si>
  <si>
    <t>DETAIL TRANSACTION SELECTION</t>
  </si>
  <si>
    <t>Payroll (operating plus capital sub obj 100-181, 199))</t>
  </si>
  <si>
    <r>
      <t xml:space="preserve">The FICA </t>
    </r>
    <r>
      <rPr>
        <b/>
        <i/>
        <u/>
        <sz val="10"/>
        <color rgb="FF222222"/>
        <rFont val="Arial"/>
        <family val="2"/>
      </rPr>
      <t>7.65</t>
    </r>
    <r>
      <rPr>
        <i/>
        <sz val="10"/>
        <color rgb="FF222222"/>
        <rFont val="Arial"/>
        <family val="2"/>
      </rPr>
      <t>% tax rate is the combined rate for Social Security and Medicare. The Social Security portion is 6.20% on earnings up to the applicable taxable-maximum amount ($128,700 for 2018). The Medicare portion is 1.45% on all earnings</t>
    </r>
  </si>
  <si>
    <t>Helpful FAMIS Screens</t>
  </si>
  <si>
    <t>Five Year Plan Pension Obligations by Fund (Central Budget)</t>
  </si>
  <si>
    <t>Five Year Plan Pension Obligations Bonds by Fund (Central Budget)</t>
  </si>
  <si>
    <t>Source for Pension (190 and 191):</t>
  </si>
  <si>
    <t>Actuals are from FAMIS. Screen 6750 (either fund 32 020 or 32 270).</t>
  </si>
  <si>
    <t>Projections are based on items noted in the tab "Water, Column S.</t>
  </si>
  <si>
    <t>Details behind certain assumptions are in Employee Disability and FICA tabs.</t>
  </si>
  <si>
    <t>Year-End Actuals require a final posting which typically occurs between mid-August and mid-September.</t>
  </si>
  <si>
    <t xml:space="preserve">City of Philadelphia Municipal Retirement System Actuarial Valuation Report (Revenue Recognition Policy Contribution can be found in Table I-1). </t>
  </si>
  <si>
    <t>All Other Sub objects</t>
  </si>
  <si>
    <t>PAID Pension Obligation Bonds</t>
  </si>
  <si>
    <t>Period Ending</t>
  </si>
  <si>
    <t>Principal</t>
  </si>
  <si>
    <t>Interest</t>
  </si>
  <si>
    <t>Compounded Interest</t>
  </si>
  <si>
    <t>Projection</t>
  </si>
  <si>
    <t>Per Cherion March 2018 Valuation Report (as of 7/1/17)</t>
  </si>
  <si>
    <t>Per Cherion March 2017 Valuation Report (as of 7/1/16)</t>
  </si>
  <si>
    <t>Per Cherion March 2016 Valuation Report (as of 7/1/15)</t>
  </si>
  <si>
    <t xml:space="preserve">FY24 Estimate </t>
  </si>
  <si>
    <t xml:space="preserve">Projected Revenue Recognition Policy amount from Central Budget. Updated as part of Five Year Plan in December. </t>
  </si>
  <si>
    <t>Retiree Cost</t>
  </si>
  <si>
    <t>Screen FAMIS</t>
  </si>
  <si>
    <t>Journal Entry</t>
  </si>
  <si>
    <t>Enter JE Number</t>
  </si>
  <si>
    <t>Health Care Costs</t>
  </si>
  <si>
    <t>Medicare Tax</t>
  </si>
  <si>
    <t>Fica</t>
  </si>
  <si>
    <t xml:space="preserve">Five Year Plan - Revise % of Payroll to Equal 5 yr Avg </t>
  </si>
  <si>
    <t>0198</t>
  </si>
  <si>
    <t>Final</t>
  </si>
  <si>
    <t>5 yr avg. Operating</t>
  </si>
  <si>
    <t xml:space="preserve"> 0191   PENSION-ACTUAL                    46,741,217 </t>
  </si>
  <si>
    <t>Employee Disability Analysis</t>
  </si>
  <si>
    <t>Per Cherion March 2019 Valuation Report (as of 7/1/18)</t>
  </si>
  <si>
    <t>SUBOBJ</t>
  </si>
  <si>
    <t>DESCRIPTION</t>
  </si>
  <si>
    <t>BUDGET</t>
  </si>
  <si>
    <t>ACTUAL</t>
  </si>
  <si>
    <t>SALARY CONTR</t>
  </si>
  <si>
    <t>PERM FULL TI</t>
  </si>
  <si>
    <t>DUAL/RELIEF-</t>
  </si>
  <si>
    <t>TERMINAL LEA</t>
  </si>
  <si>
    <t>PLUS/MINUS G</t>
  </si>
  <si>
    <t>PERM PART TI</t>
  </si>
  <si>
    <t>TEMPORARY/SE</t>
  </si>
  <si>
    <t>UNIFORM IOD</t>
  </si>
  <si>
    <t>OVERTIME-CIV</t>
  </si>
  <si>
    <t>OVERTIME/SHI</t>
  </si>
  <si>
    <t>HOLIDAY "G"(</t>
  </si>
  <si>
    <t>SHIFT</t>
  </si>
  <si>
    <t>SICK PAY(B T</t>
  </si>
  <si>
    <t>PERM FULL TI     17,300,000</t>
  </si>
  <si>
    <t>The report is published in March (2019) reflecting July 1 (2018).</t>
  </si>
  <si>
    <t>5 yr avg -fy14-19</t>
  </si>
  <si>
    <t xml:space="preserve">Final </t>
  </si>
  <si>
    <t xml:space="preserve">FY25 Estimate </t>
  </si>
  <si>
    <t>Overall Payroll Growth</t>
  </si>
  <si>
    <t>Social Security</t>
  </si>
  <si>
    <t>Medicare</t>
  </si>
  <si>
    <t>Salary Growth</t>
  </si>
  <si>
    <t>Named Ranges</t>
  </si>
  <si>
    <t>PWD Projection Notes</t>
  </si>
  <si>
    <t>Per Cherion March 2020 Valuation Report (as of 7/1/19)</t>
  </si>
  <si>
    <t>FY2020</t>
  </si>
  <si>
    <t>5 yr avg -fy15-20</t>
  </si>
  <si>
    <t>FY 22 est * % incr</t>
  </si>
  <si>
    <t>Entries booked at year-end to reimburse general fund for water fund retire costs.</t>
  </si>
  <si>
    <t>Unemployment</t>
  </si>
  <si>
    <t>Auto Mechanic</t>
  </si>
  <si>
    <t>SCHOOL CROSS</t>
  </si>
  <si>
    <t>FY2019 Data</t>
  </si>
  <si>
    <t>FY2021 to FY2026 also does not reflect potential new FTE's.</t>
  </si>
  <si>
    <t>JEXX21000302 08</t>
  </si>
  <si>
    <t>TRANSFER RETIREES CHARGES FROM GEN FUND TO WATER</t>
  </si>
  <si>
    <t>Journal Entry description - FAMIS</t>
  </si>
  <si>
    <t>JEXX21000302 10</t>
  </si>
  <si>
    <t>JEXX21000302 06</t>
  </si>
  <si>
    <t>JEXX21000302 07</t>
  </si>
  <si>
    <t>Index Code</t>
  </si>
  <si>
    <t>6450 / 6300</t>
  </si>
  <si>
    <t>Costs are part of 0193 on the tab titled "Water"</t>
  </si>
  <si>
    <t>Percent of  Revenue Recognition as of June 30</t>
  </si>
  <si>
    <t>Higher than Pension</t>
  </si>
  <si>
    <t xml:space="preserve"> FINAL</t>
  </si>
  <si>
    <t xml:space="preserve">FY26 Estimate </t>
  </si>
  <si>
    <t>FY2020 Data - FAMIS as of 3.8.21</t>
  </si>
  <si>
    <t xml:space="preserve">FY27 Estimate </t>
  </si>
  <si>
    <t xml:space="preserve">The increase in GF medical accounts for lagging medical costs from medical procedures delayed by covid-19 which pushed treatment costs from the end of FY 20 more into FY 21.  </t>
  </si>
  <si>
    <t>Per Barry Scott:</t>
  </si>
  <si>
    <t>we expect a 7% increase in General Fund medical payments for FY21</t>
  </si>
  <si>
    <t>FY22</t>
  </si>
  <si>
    <t>Estimate Only</t>
  </si>
  <si>
    <t>Aggregate POB Debt Service</t>
  </si>
  <si>
    <t>Group Life Insurance</t>
  </si>
  <si>
    <t>Group Legal Services</t>
  </si>
  <si>
    <t>FY2021</t>
  </si>
  <si>
    <t xml:space="preserve">JEXX21003767 06 </t>
  </si>
  <si>
    <t xml:space="preserve"> JEXX21003767 07 </t>
  </si>
  <si>
    <t>JEXX21003767 10</t>
  </si>
  <si>
    <t>JEXX21003767 08</t>
  </si>
  <si>
    <t>FY2021 Data</t>
  </si>
  <si>
    <t>REG 32-RATE</t>
  </si>
  <si>
    <t>Prelim - FAMIS as of 11.10.21</t>
  </si>
  <si>
    <t>Revised per 12.12.21 Central Budget email.</t>
  </si>
  <si>
    <t>FINAL</t>
  </si>
  <si>
    <t>Total Debt Service</t>
  </si>
  <si>
    <t xml:space="preserve">Water Fund share of Debt Service </t>
  </si>
  <si>
    <t>FY2022</t>
  </si>
  <si>
    <t>Prelim Final</t>
  </si>
  <si>
    <t>JEXX22003926 07</t>
  </si>
  <si>
    <t>JEXX22003926 08</t>
  </si>
  <si>
    <t>JEXX22003926 10</t>
  </si>
  <si>
    <t>JEXX22003926 06</t>
  </si>
  <si>
    <t>Revised per Central Accounting Fiscal Year end true-up calculation</t>
  </si>
  <si>
    <t>Per Central Accounting FY22 Pension Calcuation 9.26.22 (One Rate)</t>
  </si>
  <si>
    <t>Not Updated until November time-frame</t>
  </si>
  <si>
    <t>FY22 YTD (Prelim FINAL as of 10.6.22)</t>
  </si>
  <si>
    <t>Revenue Recognition Policy (prior MMO), Based on Actuarial Valuation Report as of July 1 released March</t>
  </si>
  <si>
    <t>Prelim - FAMIS as of 010.12.22</t>
  </si>
  <si>
    <t>Five Year Plan is Based on Cheiron Letter sent to Central Budget in December  or the more current estimate from Central Accounting</t>
  </si>
  <si>
    <t>FY2023</t>
  </si>
  <si>
    <t>FY2024</t>
  </si>
  <si>
    <t>FY2025</t>
  </si>
  <si>
    <t>FY2026</t>
  </si>
  <si>
    <t>FY2027</t>
  </si>
  <si>
    <t>FY2028</t>
  </si>
  <si>
    <t>FY2029</t>
  </si>
  <si>
    <t>Estimate</t>
  </si>
  <si>
    <t>FY25</t>
  </si>
  <si>
    <t>FY26</t>
  </si>
  <si>
    <t>FY27</t>
  </si>
  <si>
    <t>FY28</t>
  </si>
  <si>
    <t>FY29</t>
  </si>
  <si>
    <t>CTO</t>
  </si>
  <si>
    <t>5 yr avg -fy17-21</t>
  </si>
  <si>
    <t>5 yr avg -fy18-22</t>
  </si>
  <si>
    <t>5 yr avg -fy19-23</t>
  </si>
  <si>
    <t>Annual % Increase</t>
  </si>
  <si>
    <t>5 yr avg -fy20-24</t>
  </si>
  <si>
    <t>PRELIM</t>
  </si>
  <si>
    <t>Employee Disability Analysis  Projection - FY25 to FY29</t>
  </si>
  <si>
    <t>Comes from Employee Disablity Tab</t>
  </si>
  <si>
    <t>Org: 35</t>
  </si>
  <si>
    <t>FY 2025 - FY 2029</t>
  </si>
  <si>
    <t>Total Breakdown of Pension Obligation Bond Payments</t>
  </si>
  <si>
    <t>By Fund</t>
  </si>
  <si>
    <t>FY 23 EST</t>
  </si>
  <si>
    <t>FY 23</t>
  </si>
  <si>
    <t>FY 24 EST</t>
  </si>
  <si>
    <t>FY 25 EST</t>
  </si>
  <si>
    <t>FY 26 EST</t>
  </si>
  <si>
    <t>FY 27 EST</t>
  </si>
  <si>
    <t>FY 28 EST</t>
  </si>
  <si>
    <t>FY 29 EST</t>
  </si>
  <si>
    <t>Fund</t>
  </si>
  <si>
    <t>Calc %</t>
  </si>
  <si>
    <t>ONE RATE %</t>
  </si>
  <si>
    <t>General</t>
  </si>
  <si>
    <t>010</t>
  </si>
  <si>
    <t>Water</t>
  </si>
  <si>
    <t>020</t>
  </si>
  <si>
    <t>Grants</t>
  </si>
  <si>
    <t>080</t>
  </si>
  <si>
    <t>Aviation</t>
  </si>
  <si>
    <t>090</t>
  </si>
  <si>
    <t>Comm. Development</t>
  </si>
  <si>
    <t>100</t>
  </si>
  <si>
    <t>Hospital</t>
  </si>
  <si>
    <t>140</t>
  </si>
  <si>
    <t>Transportation</t>
  </si>
  <si>
    <t>tbd</t>
  </si>
  <si>
    <t>Capital</t>
  </si>
  <si>
    <t>210</t>
  </si>
  <si>
    <t>Water Capital</t>
  </si>
  <si>
    <t>270</t>
  </si>
  <si>
    <t>Pensions</t>
  </si>
  <si>
    <t>390</t>
  </si>
  <si>
    <t>USE THESE %'s</t>
  </si>
  <si>
    <t>*FY24-28 percentage based on one rate calculation</t>
  </si>
  <si>
    <t>AC 10/7/22</t>
  </si>
  <si>
    <t>Water Share of POB</t>
  </si>
  <si>
    <t>FY23</t>
  </si>
  <si>
    <t>FY24</t>
  </si>
  <si>
    <t>FY 11 - FY 24 Actual</t>
  </si>
  <si>
    <t>FY 25 - FY 29 Projected</t>
  </si>
  <si>
    <t>7.3% discount rate (scenario 2, 7.3% in FYP Sc2 tab)</t>
  </si>
  <si>
    <t>7.96% is most recent rate per final Accounting calc FY23</t>
  </si>
  <si>
    <t>CTO file</t>
  </si>
  <si>
    <t>GENERAL FUND GROWTH RATES FOR COMPARISON</t>
  </si>
  <si>
    <t>FY 24-28 Increase / (Decrease) Over Current Draft</t>
  </si>
  <si>
    <t>Difference</t>
  </si>
  <si>
    <t>Updated FY24-28 FYP</t>
  </si>
  <si>
    <t>Placeholder FY24-28 FYP</t>
  </si>
  <si>
    <t>FY 25-28 Increase / (Decrease) Over Prev Plan &gt;&gt;&gt;</t>
  </si>
  <si>
    <t>Incr (Decr)</t>
  </si>
  <si>
    <t>AC  3/2/24</t>
  </si>
  <si>
    <t>General Fund</t>
  </si>
  <si>
    <t>additional payment of $118,588,262.</t>
  </si>
  <si>
    <t>25-29 plan</t>
  </si>
  <si>
    <t>(a) Gen Fd Decreased by Sales Tax payment of $92,143,124 and</t>
  </si>
  <si>
    <t xml:space="preserve">Not used-See </t>
  </si>
  <si>
    <t>*Per Accounting's FY23 calculation, Summary - 190 SO and 191 SO tab</t>
  </si>
  <si>
    <t>Total RRP</t>
  </si>
  <si>
    <t>Housing Trust</t>
  </si>
  <si>
    <t>C.D.</t>
  </si>
  <si>
    <t>050</t>
  </si>
  <si>
    <t>Special Gas.</t>
  </si>
  <si>
    <t>FY 24</t>
  </si>
  <si>
    <t>%</t>
  </si>
  <si>
    <t>No.</t>
  </si>
  <si>
    <t>Calculated</t>
  </si>
  <si>
    <t>FY 23 %</t>
  </si>
  <si>
    <t>FY 23 ACT(a)</t>
  </si>
  <si>
    <t>ONE RATE</t>
  </si>
  <si>
    <t>7.30% in 2023</t>
  </si>
  <si>
    <t xml:space="preserve">RRP Disc. Rate: </t>
  </si>
  <si>
    <t>EMAIL 2/24</t>
  </si>
  <si>
    <t xml:space="preserve">Source: </t>
  </si>
  <si>
    <t>Assumption One Rate Calculation</t>
  </si>
  <si>
    <t>FY 2025 - FY 2029 Pension Obligation (0191)   Revenue Recognition Policy</t>
  </si>
  <si>
    <t>CTO 7.3% tab</t>
  </si>
  <si>
    <t>PWD</t>
  </si>
  <si>
    <t>Benefits</t>
  </si>
  <si>
    <t>Pension Obligations</t>
  </si>
  <si>
    <t>Average Increase</t>
  </si>
  <si>
    <t>4 Year Avg</t>
  </si>
  <si>
    <t>3 Year Avg</t>
  </si>
  <si>
    <t>PROJECTION FAMIS 11.18.24</t>
  </si>
  <si>
    <t>REVISED PENSION</t>
  </si>
  <si>
    <t>excluing negiatives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</si>
</sst>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"/>
    <numFmt numFmtId="166" formatCode="0.0000000"/>
    <numFmt numFmtId="167" formatCode="0.0000%"/>
    <numFmt numFmtId="168" formatCode="0.0%"/>
    <numFmt numFmtId="169" formatCode="_(* #,##0_);_(* \(#,##0\);_(* &quot;-&quot;??_);_(@_)"/>
  </numFmts>
  <fonts count="6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002060"/>
      <name val="Arial"/>
      <family val="2"/>
    </font>
    <font>
      <sz val="11"/>
      <color theme="1"/>
      <name val="Calibri"/>
      <family val="2"/>
    </font>
    <font>
      <b/>
      <i/>
      <sz val="10"/>
      <color rgb="FF00206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003300"/>
      <name val="Arial"/>
      <family val="2"/>
    </font>
    <font>
      <b/>
      <i/>
      <sz val="10"/>
      <color rgb="FF00B05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0"/>
      <color rgb="FF222222"/>
      <name val="Arial"/>
      <family val="2"/>
    </font>
    <font>
      <b/>
      <u/>
      <sz val="11"/>
      <color theme="1"/>
      <name val="Arial"/>
      <family val="2"/>
    </font>
    <font>
      <i/>
      <sz val="10"/>
      <color rgb="FF222222"/>
      <name val="Arial"/>
      <family val="2"/>
    </font>
    <font>
      <b/>
      <i/>
      <u/>
      <sz val="10"/>
      <color rgb="FF222222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3"/>
      <name val="Arial"/>
      <family val="2"/>
    </font>
    <font>
      <b/>
      <i/>
      <sz val="10"/>
      <color theme="4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i/>
      <sz val="11"/>
      <color rgb="FFFF0000"/>
      <name val="Calibri"/>
      <family val="2"/>
      <scheme val="minor"/>
    </font>
    <font>
      <sz val="8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1"/>
      <name val="Calibri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b/>
      <i/>
      <sz val="9"/>
      <color theme="1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</cellStyleXfs>
  <cellXfs count="341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quotePrefix="1" applyFont="1"/>
    <xf numFmtId="41" fontId="13" fillId="0" borderId="0" xfId="1" applyNumberFormat="1" applyFont="1" applyBorder="1"/>
    <xf numFmtId="41" fontId="17" fillId="0" borderId="0" xfId="1" applyNumberFormat="1" applyFont="1" applyFill="1" applyBorder="1"/>
    <xf numFmtId="41" fontId="13" fillId="0" borderId="0" xfId="1" applyNumberFormat="1" applyFont="1" applyFill="1" applyBorder="1"/>
    <xf numFmtId="41" fontId="13" fillId="0" borderId="2" xfId="1" applyNumberFormat="1" applyFont="1" applyBorder="1"/>
    <xf numFmtId="41" fontId="17" fillId="0" borderId="2" xfId="1" applyNumberFormat="1" applyFont="1" applyFill="1" applyBorder="1"/>
    <xf numFmtId="41" fontId="13" fillId="0" borderId="2" xfId="1" applyNumberFormat="1" applyFont="1" applyFill="1" applyBorder="1"/>
    <xf numFmtId="0" fontId="16" fillId="0" borderId="0" xfId="0" applyFont="1"/>
    <xf numFmtId="0" fontId="15" fillId="0" borderId="0" xfId="0" applyFont="1"/>
    <xf numFmtId="3" fontId="13" fillId="0" borderId="0" xfId="4" applyNumberFormat="1" applyFont="1"/>
    <xf numFmtId="0" fontId="13" fillId="0" borderId="0" xfId="0" applyFont="1" applyAlignment="1">
      <alignment horizontal="right"/>
    </xf>
    <xf numFmtId="39" fontId="13" fillId="0" borderId="0" xfId="2" applyNumberFormat="1" applyFont="1"/>
    <xf numFmtId="0" fontId="18" fillId="0" borderId="0" xfId="0" applyFont="1" applyAlignment="1">
      <alignment horizontal="right"/>
    </xf>
    <xf numFmtId="0" fontId="17" fillId="0" borderId="0" xfId="0" applyFont="1"/>
    <xf numFmtId="0" fontId="17" fillId="0" borderId="0" xfId="0" quotePrefix="1" applyFont="1"/>
    <xf numFmtId="0" fontId="22" fillId="0" borderId="0" xfId="0" applyFont="1" applyAlignment="1">
      <alignment horizontal="right"/>
    </xf>
    <xf numFmtId="0" fontId="10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10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38" fontId="10" fillId="0" borderId="0" xfId="0" applyNumberFormat="1" applyFont="1"/>
    <xf numFmtId="0" fontId="10" fillId="0" borderId="0" xfId="0" quotePrefix="1" applyFont="1"/>
    <xf numFmtId="38" fontId="26" fillId="0" borderId="0" xfId="0" applyNumberFormat="1" applyFont="1" applyAlignment="1">
      <alignment horizontal="center"/>
    </xf>
    <xf numFmtId="38" fontId="10" fillId="0" borderId="2" xfId="0" applyNumberFormat="1" applyFont="1" applyBorder="1"/>
    <xf numFmtId="38" fontId="10" fillId="0" borderId="1" xfId="0" applyNumberFormat="1" applyFont="1" applyBorder="1"/>
    <xf numFmtId="38" fontId="10" fillId="0" borderId="3" xfId="0" applyNumberFormat="1" applyFont="1" applyBorder="1"/>
    <xf numFmtId="10" fontId="10" fillId="0" borderId="0" xfId="0" applyNumberFormat="1" applyFont="1"/>
    <xf numFmtId="0" fontId="27" fillId="0" borderId="0" xfId="5" applyFont="1" applyAlignment="1">
      <alignment horizontal="centerContinuous"/>
    </xf>
    <xf numFmtId="0" fontId="17" fillId="0" borderId="0" xfId="5" applyAlignment="1">
      <alignment horizontal="centerContinuous"/>
    </xf>
    <xf numFmtId="0" fontId="17" fillId="0" borderId="0" xfId="5"/>
    <xf numFmtId="0" fontId="19" fillId="0" borderId="0" xfId="5" applyFont="1" applyAlignment="1">
      <alignment horizontal="centerContinuous"/>
    </xf>
    <xf numFmtId="0" fontId="28" fillId="0" borderId="0" xfId="5" applyFont="1" applyAlignment="1">
      <alignment horizontal="center"/>
    </xf>
    <xf numFmtId="0" fontId="28" fillId="0" borderId="2" xfId="5" applyFont="1" applyBorder="1" applyAlignment="1">
      <alignment horizontal="center"/>
    </xf>
    <xf numFmtId="38" fontId="17" fillId="0" borderId="0" xfId="5" applyNumberFormat="1"/>
    <xf numFmtId="10" fontId="17" fillId="0" borderId="0" xfId="5" applyNumberFormat="1"/>
    <xf numFmtId="38" fontId="17" fillId="0" borderId="0" xfId="5" applyNumberFormat="1" applyAlignment="1">
      <alignment horizontal="centerContinuous"/>
    </xf>
    <xf numFmtId="0" fontId="19" fillId="0" borderId="0" xfId="5" applyFont="1"/>
    <xf numFmtId="0" fontId="29" fillId="0" borderId="0" xfId="5" applyFont="1"/>
    <xf numFmtId="0" fontId="28" fillId="0" borderId="2" xfId="5" applyFont="1" applyBorder="1" applyAlignment="1">
      <alignment horizontal="center" wrapText="1"/>
    </xf>
    <xf numFmtId="0" fontId="30" fillId="0" borderId="0" xfId="5" applyFont="1"/>
    <xf numFmtId="0" fontId="31" fillId="0" borderId="0" xfId="0" applyFont="1"/>
    <xf numFmtId="41" fontId="31" fillId="0" borderId="0" xfId="1" applyNumberFormat="1" applyFont="1" applyBorder="1"/>
    <xf numFmtId="41" fontId="31" fillId="0" borderId="0" xfId="1" applyNumberFormat="1" applyFont="1" applyFill="1" applyBorder="1"/>
    <xf numFmtId="0" fontId="31" fillId="0" borderId="0" xfId="0" quotePrefix="1" applyFont="1"/>
    <xf numFmtId="3" fontId="13" fillId="0" borderId="2" xfId="4" applyNumberFormat="1" applyFont="1" applyBorder="1"/>
    <xf numFmtId="0" fontId="10" fillId="0" borderId="0" xfId="0" applyFont="1" applyAlignment="1">
      <alignment horizontal="center"/>
    </xf>
    <xf numFmtId="10" fontId="24" fillId="0" borderId="1" xfId="0" applyNumberFormat="1" applyFont="1" applyBorder="1"/>
    <xf numFmtId="10" fontId="24" fillId="0" borderId="0" xfId="0" applyNumberFormat="1" applyFont="1"/>
    <xf numFmtId="0" fontId="23" fillId="0" borderId="0" xfId="0" applyFont="1" applyAlignment="1">
      <alignment horizontal="center" wrapText="1"/>
    </xf>
    <xf numFmtId="10" fontId="10" fillId="0" borderId="0" xfId="3" applyNumberFormat="1" applyFont="1" applyBorder="1"/>
    <xf numFmtId="0" fontId="13" fillId="0" borderId="2" xfId="0" quotePrefix="1" applyFont="1" applyBorder="1"/>
    <xf numFmtId="0" fontId="21" fillId="0" borderId="0" xfId="0" applyFont="1"/>
    <xf numFmtId="39" fontId="13" fillId="0" borderId="0" xfId="2" applyNumberFormat="1" applyFont="1" applyFill="1"/>
    <xf numFmtId="0" fontId="34" fillId="0" borderId="0" xfId="0" applyFont="1"/>
    <xf numFmtId="0" fontId="25" fillId="0" borderId="0" xfId="0" applyFont="1" applyAlignment="1">
      <alignment horizontal="left"/>
    </xf>
    <xf numFmtId="0" fontId="9" fillId="0" borderId="0" xfId="0" applyFont="1"/>
    <xf numFmtId="0" fontId="37" fillId="0" borderId="0" xfId="5" applyFont="1"/>
    <xf numFmtId="0" fontId="38" fillId="0" borderId="0" xfId="0" applyFont="1" applyAlignment="1">
      <alignment horizontal="left" vertical="top" wrapText="1"/>
    </xf>
    <xf numFmtId="0" fontId="16" fillId="0" borderId="0" xfId="5" applyFont="1"/>
    <xf numFmtId="0" fontId="39" fillId="2" borderId="0" xfId="5" applyFont="1" applyFill="1"/>
    <xf numFmtId="0" fontId="12" fillId="2" borderId="0" xfId="5" applyFont="1" applyFill="1"/>
    <xf numFmtId="0" fontId="42" fillId="0" borderId="0" xfId="0" applyFont="1"/>
    <xf numFmtId="0" fontId="33" fillId="0" borderId="0" xfId="0" applyFont="1"/>
    <xf numFmtId="0" fontId="43" fillId="2" borderId="0" xfId="0" applyFont="1" applyFill="1"/>
    <xf numFmtId="41" fontId="32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 wrapText="1"/>
    </xf>
    <xf numFmtId="3" fontId="45" fillId="0" borderId="0" xfId="4" applyNumberFormat="1" applyFont="1" applyAlignment="1">
      <alignment horizontal="center" wrapText="1"/>
    </xf>
    <xf numFmtId="3" fontId="18" fillId="0" borderId="0" xfId="4" applyNumberFormat="1" applyFont="1"/>
    <xf numFmtId="38" fontId="47" fillId="0" borderId="0" xfId="5" applyNumberFormat="1" applyFont="1"/>
    <xf numFmtId="10" fontId="47" fillId="0" borderId="0" xfId="5" applyNumberFormat="1" applyFont="1"/>
    <xf numFmtId="38" fontId="46" fillId="0" borderId="0" xfId="5" applyNumberFormat="1" applyFont="1"/>
    <xf numFmtId="10" fontId="46" fillId="0" borderId="0" xfId="5" applyNumberFormat="1" applyFont="1"/>
    <xf numFmtId="38" fontId="46" fillId="0" borderId="0" xfId="5" applyNumberFormat="1" applyFont="1" applyAlignment="1">
      <alignment horizontal="centerContinuous"/>
    </xf>
    <xf numFmtId="0" fontId="46" fillId="0" borderId="0" xfId="5" applyFont="1"/>
    <xf numFmtId="0" fontId="15" fillId="0" borderId="0" xfId="0" applyFont="1" applyAlignment="1">
      <alignment horizontal="right"/>
    </xf>
    <xf numFmtId="44" fontId="13" fillId="0" borderId="0" xfId="2" applyFont="1" applyAlignment="1">
      <alignment horizontal="right"/>
    </xf>
    <xf numFmtId="44" fontId="13" fillId="0" borderId="0" xfId="2" applyFont="1"/>
    <xf numFmtId="0" fontId="35" fillId="0" borderId="4" xfId="0" applyFont="1" applyBorder="1" applyAlignment="1">
      <alignment horizontal="center" wrapText="1"/>
    </xf>
    <xf numFmtId="0" fontId="35" fillId="0" borderId="5" xfId="0" applyFont="1" applyBorder="1" applyAlignment="1">
      <alignment horizontal="center"/>
    </xf>
    <xf numFmtId="44" fontId="0" fillId="0" borderId="0" xfId="0" applyNumberFormat="1"/>
    <xf numFmtId="0" fontId="13" fillId="0" borderId="0" xfId="0" applyFont="1" applyAlignment="1">
      <alignment vertical="center" wrapText="1"/>
    </xf>
    <xf numFmtId="38" fontId="8" fillId="0" borderId="0" xfId="0" applyNumberFormat="1" applyFont="1"/>
    <xf numFmtId="0" fontId="17" fillId="0" borderId="0" xfId="0" applyFont="1" applyAlignment="1">
      <alignment horizontal="center"/>
    </xf>
    <xf numFmtId="3" fontId="33" fillId="0" borderId="0" xfId="4" applyNumberFormat="1" applyFont="1"/>
    <xf numFmtId="0" fontId="28" fillId="0" borderId="0" xfId="0" applyFont="1" applyAlignment="1">
      <alignment horizontal="right"/>
    </xf>
    <xf numFmtId="38" fontId="7" fillId="0" borderId="0" xfId="0" applyNumberFormat="1" applyFont="1"/>
    <xf numFmtId="38" fontId="51" fillId="0" borderId="0" xfId="0" applyNumberFormat="1" applyFont="1"/>
    <xf numFmtId="38" fontId="51" fillId="0" borderId="1" xfId="0" applyNumberFormat="1" applyFont="1" applyBorder="1"/>
    <xf numFmtId="10" fontId="34" fillId="0" borderId="0" xfId="3" applyNumberFormat="1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7" xfId="0" applyFont="1" applyBorder="1" applyAlignment="1">
      <alignment vertical="center"/>
    </xf>
    <xf numFmtId="41" fontId="13" fillId="0" borderId="7" xfId="1" applyNumberFormat="1" applyFont="1" applyBorder="1" applyAlignment="1">
      <alignment vertical="center"/>
    </xf>
    <xf numFmtId="41" fontId="17" fillId="0" borderId="7" xfId="1" applyNumberFormat="1" applyFont="1" applyFill="1" applyBorder="1" applyAlignment="1">
      <alignment vertical="center"/>
    </xf>
    <xf numFmtId="41" fontId="13" fillId="0" borderId="7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41" fontId="13" fillId="0" borderId="7" xfId="1" applyNumberFormat="1" applyFont="1" applyBorder="1" applyAlignment="1">
      <alignment horizontal="center" vertical="center"/>
    </xf>
    <xf numFmtId="41" fontId="17" fillId="0" borderId="7" xfId="1" applyNumberFormat="1" applyFont="1" applyFill="1" applyBorder="1" applyAlignment="1">
      <alignment horizontal="center" vertical="center"/>
    </xf>
    <xf numFmtId="41" fontId="13" fillId="0" borderId="7" xfId="1" applyNumberFormat="1" applyFont="1" applyFill="1" applyBorder="1" applyAlignment="1">
      <alignment horizontal="center" vertical="center"/>
    </xf>
    <xf numFmtId="41" fontId="13" fillId="0" borderId="7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0" fontId="13" fillId="0" borderId="7" xfId="3" applyNumberFormat="1" applyFont="1" applyFill="1" applyBorder="1" applyAlignment="1">
      <alignment vertical="center"/>
    </xf>
    <xf numFmtId="3" fontId="17" fillId="0" borderId="0" xfId="5" applyNumberFormat="1"/>
    <xf numFmtId="0" fontId="17" fillId="0" borderId="0" xfId="5" applyAlignment="1">
      <alignment horizontal="right"/>
    </xf>
    <xf numFmtId="38" fontId="13" fillId="0" borderId="0" xfId="5" applyNumberFormat="1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50" fillId="0" borderId="0" xfId="0" applyFont="1" applyAlignment="1">
      <alignment horizontal="center" wrapText="1"/>
    </xf>
    <xf numFmtId="0" fontId="28" fillId="0" borderId="0" xfId="5" applyFont="1" applyAlignment="1">
      <alignment horizontal="center" wrapText="1"/>
    </xf>
    <xf numFmtId="44" fontId="17" fillId="0" borderId="0" xfId="2" applyFont="1"/>
    <xf numFmtId="0" fontId="17" fillId="0" borderId="0" xfId="5" applyAlignment="1">
      <alignment horizontal="center"/>
    </xf>
    <xf numFmtId="0" fontId="50" fillId="3" borderId="8" xfId="5" applyFont="1" applyFill="1" applyBorder="1"/>
    <xf numFmtId="0" fontId="50" fillId="3" borderId="9" xfId="5" applyFont="1" applyFill="1" applyBorder="1"/>
    <xf numFmtId="0" fontId="50" fillId="3" borderId="10" xfId="5" applyFont="1" applyFill="1" applyBorder="1"/>
    <xf numFmtId="0" fontId="17" fillId="3" borderId="11" xfId="5" applyFill="1" applyBorder="1"/>
    <xf numFmtId="0" fontId="17" fillId="3" borderId="0" xfId="5" applyFill="1"/>
    <xf numFmtId="0" fontId="17" fillId="3" borderId="13" xfId="5" applyFill="1" applyBorder="1"/>
    <xf numFmtId="0" fontId="17" fillId="3" borderId="14" xfId="5" applyFill="1" applyBorder="1"/>
    <xf numFmtId="10" fontId="17" fillId="3" borderId="12" xfId="3" applyNumberFormat="1" applyFont="1" applyFill="1" applyBorder="1"/>
    <xf numFmtId="10" fontId="17" fillId="3" borderId="15" xfId="3" applyNumberFormat="1" applyFont="1" applyFill="1" applyBorder="1"/>
    <xf numFmtId="14" fontId="15" fillId="0" borderId="0" xfId="0" applyNumberFormat="1" applyFont="1" applyAlignment="1">
      <alignment horizontal="left"/>
    </xf>
    <xf numFmtId="10" fontId="18" fillId="0" borderId="7" xfId="3" applyNumberFormat="1" applyFont="1" applyFill="1" applyBorder="1" applyAlignment="1">
      <alignment horizontal="right" vertical="center" wrapText="1"/>
    </xf>
    <xf numFmtId="0" fontId="37" fillId="0" borderId="0" xfId="0" applyFont="1"/>
    <xf numFmtId="3" fontId="37" fillId="0" borderId="0" xfId="4" applyNumberFormat="1" applyFont="1"/>
    <xf numFmtId="41" fontId="37" fillId="0" borderId="0" xfId="1" applyNumberFormat="1" applyFont="1" applyBorder="1"/>
    <xf numFmtId="3" fontId="37" fillId="0" borderId="2" xfId="4" applyNumberFormat="1" applyFont="1" applyBorder="1"/>
    <xf numFmtId="41" fontId="17" fillId="0" borderId="7" xfId="1" applyNumberFormat="1" applyFont="1" applyFill="1" applyBorder="1" applyAlignment="1">
      <alignment horizontal="center" vertical="center" wrapText="1"/>
    </xf>
    <xf numFmtId="39" fontId="17" fillId="0" borderId="0" xfId="2" applyNumberFormat="1" applyFont="1" applyFill="1"/>
    <xf numFmtId="0" fontId="5" fillId="0" borderId="0" xfId="0" applyFont="1"/>
    <xf numFmtId="44" fontId="13" fillId="0" borderId="0" xfId="2" applyFont="1" applyFill="1" applyAlignment="1">
      <alignment horizontal="right"/>
    </xf>
    <xf numFmtId="44" fontId="13" fillId="0" borderId="0" xfId="2" applyFont="1" applyFill="1"/>
    <xf numFmtId="44" fontId="15" fillId="0" borderId="0" xfId="0" applyNumberFormat="1" applyFont="1" applyAlignment="1">
      <alignment horizontal="right"/>
    </xf>
    <xf numFmtId="3" fontId="28" fillId="0" borderId="0" xfId="5" applyNumberFormat="1" applyFont="1"/>
    <xf numFmtId="0" fontId="28" fillId="0" borderId="0" xfId="5" applyFont="1"/>
    <xf numFmtId="43" fontId="17" fillId="0" borderId="0" xfId="5" applyNumberFormat="1"/>
    <xf numFmtId="0" fontId="52" fillId="0" borderId="0" xfId="0" applyFont="1"/>
    <xf numFmtId="0" fontId="53" fillId="0" borderId="0" xfId="0" applyFont="1" applyAlignment="1">
      <alignment horizontal="right"/>
    </xf>
    <xf numFmtId="0" fontId="53" fillId="0" borderId="0" xfId="0" applyFont="1"/>
    <xf numFmtId="0" fontId="52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3" fontId="17" fillId="0" borderId="0" xfId="4" applyNumberFormat="1" applyFont="1" applyAlignment="1">
      <alignment vertical="center"/>
    </xf>
    <xf numFmtId="43" fontId="13" fillId="0" borderId="0" xfId="1" applyFont="1" applyFill="1"/>
    <xf numFmtId="43" fontId="17" fillId="0" borderId="0" xfId="0" applyNumberFormat="1" applyFont="1"/>
    <xf numFmtId="166" fontId="13" fillId="0" borderId="0" xfId="0" applyNumberFormat="1" applyFont="1"/>
    <xf numFmtId="44" fontId="17" fillId="0" borderId="0" xfId="2" applyFont="1" applyFill="1"/>
    <xf numFmtId="3" fontId="46" fillId="0" borderId="0" xfId="4" applyNumberFormat="1" applyFont="1"/>
    <xf numFmtId="3" fontId="46" fillId="0" borderId="2" xfId="4" applyNumberFormat="1" applyFont="1" applyBorder="1"/>
    <xf numFmtId="0" fontId="46" fillId="0" borderId="0" xfId="0" applyFont="1" applyAlignment="1">
      <alignment horizontal="center" wrapText="1"/>
    </xf>
    <xf numFmtId="0" fontId="54" fillId="0" borderId="0" xfId="0" applyFont="1" applyAlignment="1">
      <alignment vertical="center"/>
    </xf>
    <xf numFmtId="3" fontId="17" fillId="0" borderId="0" xfId="4" applyNumberFormat="1" applyFont="1"/>
    <xf numFmtId="0" fontId="44" fillId="0" borderId="0" xfId="0" applyFont="1" applyAlignment="1">
      <alignment horizontal="right"/>
    </xf>
    <xf numFmtId="165" fontId="33" fillId="0" borderId="0" xfId="3" applyNumberFormat="1" applyFont="1"/>
    <xf numFmtId="44" fontId="0" fillId="0" borderId="0" xfId="2" applyFont="1" applyFill="1"/>
    <xf numFmtId="0" fontId="4" fillId="0" borderId="0" xfId="0" applyFont="1" applyAlignment="1">
      <alignment horizontal="center" wrapText="1"/>
    </xf>
    <xf numFmtId="0" fontId="21" fillId="0" borderId="0" xfId="0" applyFont="1" applyAlignment="1">
      <alignment vertical="center"/>
    </xf>
    <xf numFmtId="0" fontId="3" fillId="0" borderId="0" xfId="0" applyFont="1"/>
    <xf numFmtId="0" fontId="49" fillId="0" borderId="0" xfId="0" applyFont="1"/>
    <xf numFmtId="164" fontId="42" fillId="0" borderId="0" xfId="3" applyNumberFormat="1" applyFont="1" applyFill="1" applyAlignment="1">
      <alignment horizontal="right" wrapText="1"/>
    </xf>
    <xf numFmtId="10" fontId="55" fillId="0" borderId="0" xfId="3" applyNumberFormat="1" applyFont="1"/>
    <xf numFmtId="41" fontId="55" fillId="0" borderId="0" xfId="1" applyNumberFormat="1" applyFont="1" applyFill="1" applyBorder="1" applyAlignment="1">
      <alignment horizontal="center" vertical="center" wrapText="1"/>
    </xf>
    <xf numFmtId="44" fontId="13" fillId="0" borderId="0" xfId="0" applyNumberFormat="1" applyFont="1"/>
    <xf numFmtId="3" fontId="17" fillId="0" borderId="2" xfId="4" applyNumberFormat="1" applyFont="1" applyBorder="1"/>
    <xf numFmtId="0" fontId="37" fillId="0" borderId="0" xfId="0" applyFont="1" applyAlignment="1">
      <alignment horizontal="center" vertical="center" wrapText="1"/>
    </xf>
    <xf numFmtId="44" fontId="56" fillId="0" borderId="0" xfId="0" applyNumberFormat="1" applyFont="1"/>
    <xf numFmtId="44" fontId="57" fillId="0" borderId="0" xfId="2" applyFont="1" applyFill="1" applyAlignment="1">
      <alignment horizontal="right"/>
    </xf>
    <xf numFmtId="0" fontId="2" fillId="0" borderId="0" xfId="0" applyFont="1" applyAlignment="1">
      <alignment horizontal="center" wrapText="1"/>
    </xf>
    <xf numFmtId="0" fontId="48" fillId="0" borderId="2" xfId="0" applyFont="1" applyBorder="1" applyAlignment="1">
      <alignment horizontal="right" wrapText="1"/>
    </xf>
    <xf numFmtId="0" fontId="18" fillId="0" borderId="0" xfId="0" applyFont="1"/>
    <xf numFmtId="10" fontId="58" fillId="0" borderId="1" xfId="0" applyNumberFormat="1" applyFont="1" applyBorder="1"/>
    <xf numFmtId="44" fontId="37" fillId="0" borderId="0" xfId="2" applyFont="1" applyFill="1"/>
    <xf numFmtId="10" fontId="0" fillId="0" borderId="0" xfId="3" applyNumberFormat="1" applyFont="1"/>
    <xf numFmtId="167" fontId="0" fillId="0" borderId="0" xfId="3" applyNumberFormat="1" applyFont="1" applyFill="1" applyAlignment="1">
      <alignment wrapText="1"/>
    </xf>
    <xf numFmtId="0" fontId="30" fillId="2" borderId="0" xfId="0" applyFont="1" applyFill="1"/>
    <xf numFmtId="0" fontId="26" fillId="4" borderId="0" xfId="0" applyFont="1" applyFill="1" applyAlignment="1">
      <alignment horizontal="center"/>
    </xf>
    <xf numFmtId="10" fontId="34" fillId="4" borderId="0" xfId="3" applyNumberFormat="1" applyFont="1" applyFill="1" applyBorder="1" applyAlignment="1">
      <alignment horizontal="right" vertical="center"/>
    </xf>
    <xf numFmtId="38" fontId="10" fillId="4" borderId="0" xfId="0" applyNumberFormat="1" applyFont="1" applyFill="1"/>
    <xf numFmtId="10" fontId="10" fillId="4" borderId="0" xfId="3" applyNumberFormat="1" applyFont="1" applyFill="1" applyBorder="1"/>
    <xf numFmtId="0" fontId="50" fillId="0" borderId="0" xfId="5" applyFont="1"/>
    <xf numFmtId="10" fontId="17" fillId="0" borderId="0" xfId="3" applyNumberFormat="1" applyFont="1" applyFill="1" applyBorder="1"/>
    <xf numFmtId="3" fontId="47" fillId="0" borderId="0" xfId="4" applyNumberFormat="1" applyFont="1"/>
    <xf numFmtId="0" fontId="30" fillId="0" borderId="0" xfId="0" applyFont="1"/>
    <xf numFmtId="10" fontId="28" fillId="0" borderId="0" xfId="5" applyNumberFormat="1" applyFont="1"/>
    <xf numFmtId="0" fontId="36" fillId="0" borderId="0" xfId="5" applyFont="1"/>
    <xf numFmtId="44" fontId="17" fillId="0" borderId="0" xfId="2" applyFont="1" applyBorder="1"/>
    <xf numFmtId="10" fontId="55" fillId="0" borderId="0" xfId="1" applyNumberFormat="1" applyFont="1" applyFill="1" applyBorder="1" applyAlignment="1">
      <alignment horizontal="center" vertical="center" wrapText="1"/>
    </xf>
    <xf numFmtId="41" fontId="13" fillId="0" borderId="0" xfId="1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/>
    </xf>
    <xf numFmtId="168" fontId="0" fillId="0" borderId="0" xfId="0" applyNumberFormat="1"/>
    <xf numFmtId="14" fontId="1" fillId="0" borderId="0" xfId="0" applyNumberFormat="1" applyFont="1" applyAlignment="1">
      <alignment horizontal="center" wrapText="1"/>
    </xf>
    <xf numFmtId="10" fontId="13" fillId="5" borderId="0" xfId="3" applyNumberFormat="1" applyFont="1" applyFill="1" applyBorder="1"/>
    <xf numFmtId="38" fontId="23" fillId="0" borderId="0" xfId="0" applyNumberFormat="1" applyFont="1"/>
    <xf numFmtId="10" fontId="34" fillId="0" borderId="0" xfId="3" applyNumberFormat="1" applyFont="1" applyFill="1" applyBorder="1" applyAlignment="1">
      <alignment horizontal="right" vertical="center"/>
    </xf>
    <xf numFmtId="10" fontId="10" fillId="0" borderId="0" xfId="3" applyNumberFormat="1" applyFont="1" applyFill="1" applyBorder="1"/>
    <xf numFmtId="0" fontId="1" fillId="0" borderId="0" xfId="0" applyFont="1"/>
    <xf numFmtId="3" fontId="20" fillId="0" borderId="0" xfId="4" applyNumberFormat="1" applyFont="1"/>
    <xf numFmtId="0" fontId="28" fillId="7" borderId="16" xfId="0" applyFont="1" applyFill="1" applyBorder="1" applyAlignment="1">
      <alignment horizontal="centerContinuous"/>
    </xf>
    <xf numFmtId="0" fontId="0" fillId="7" borderId="0" xfId="0" applyFill="1" applyAlignment="1">
      <alignment horizontal="centerContinuous"/>
    </xf>
    <xf numFmtId="0" fontId="0" fillId="7" borderId="17" xfId="0" applyFill="1" applyBorder="1" applyAlignment="1">
      <alignment horizontal="centerContinuous"/>
    </xf>
    <xf numFmtId="0" fontId="0" fillId="7" borderId="16" xfId="0" applyFill="1" applyBorder="1"/>
    <xf numFmtId="0" fontId="0" fillId="7" borderId="0" xfId="0" applyFill="1"/>
    <xf numFmtId="0" fontId="0" fillId="7" borderId="17" xfId="0" applyFill="1" applyBorder="1"/>
    <xf numFmtId="0" fontId="28" fillId="7" borderId="16" xfId="0" applyFont="1" applyFill="1" applyBorder="1" applyAlignment="1">
      <alignment horizontal="center"/>
    </xf>
    <xf numFmtId="0" fontId="28" fillId="7" borderId="0" xfId="0" applyFont="1" applyFill="1" applyAlignment="1">
      <alignment horizontal="center"/>
    </xf>
    <xf numFmtId="0" fontId="28" fillId="8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8" fillId="7" borderId="17" xfId="0" applyFont="1" applyFill="1" applyBorder="1" applyAlignment="1">
      <alignment horizontal="center"/>
    </xf>
    <xf numFmtId="0" fontId="28" fillId="7" borderId="18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center"/>
    </xf>
    <xf numFmtId="0" fontId="28" fillId="8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8" borderId="2" xfId="0" quotePrefix="1" applyFont="1" applyFill="1" applyBorder="1" applyAlignment="1">
      <alignment horizontal="center"/>
    </xf>
    <xf numFmtId="0" fontId="0" fillId="2" borderId="2" xfId="0" applyFill="1" applyBorder="1"/>
    <xf numFmtId="0" fontId="0" fillId="7" borderId="2" xfId="0" applyFill="1" applyBorder="1"/>
    <xf numFmtId="0" fontId="0" fillId="7" borderId="19" xfId="0" applyFill="1" applyBorder="1"/>
    <xf numFmtId="0" fontId="17" fillId="7" borderId="0" xfId="0" quotePrefix="1" applyFont="1" applyFill="1"/>
    <xf numFmtId="169" fontId="17" fillId="7" borderId="0" xfId="6" applyNumberFormat="1" applyFont="1" applyFill="1" applyBorder="1"/>
    <xf numFmtId="10" fontId="0" fillId="8" borderId="0" xfId="0" applyNumberFormat="1" applyFill="1"/>
    <xf numFmtId="10" fontId="0" fillId="2" borderId="0" xfId="0" applyNumberFormat="1" applyFill="1"/>
    <xf numFmtId="38" fontId="0" fillId="8" borderId="0" xfId="0" applyNumberFormat="1" applyFill="1"/>
    <xf numFmtId="38" fontId="0" fillId="2" borderId="0" xfId="0" applyNumberFormat="1" applyFill="1"/>
    <xf numFmtId="38" fontId="0" fillId="7" borderId="0" xfId="0" applyNumberFormat="1" applyFill="1"/>
    <xf numFmtId="38" fontId="0" fillId="7" borderId="17" xfId="0" applyNumberFormat="1" applyFill="1" applyBorder="1"/>
    <xf numFmtId="169" fontId="17" fillId="7" borderId="0" xfId="6" quotePrefix="1" applyNumberFormat="1" applyFont="1" applyFill="1" applyBorder="1"/>
    <xf numFmtId="0" fontId="17" fillId="7" borderId="16" xfId="0" applyFont="1" applyFill="1" applyBorder="1"/>
    <xf numFmtId="169" fontId="0" fillId="7" borderId="1" xfId="6" applyNumberFormat="1" applyFont="1" applyFill="1" applyBorder="1"/>
    <xf numFmtId="10" fontId="0" fillId="8" borderId="1" xfId="0" applyNumberFormat="1" applyFill="1" applyBorder="1"/>
    <xf numFmtId="10" fontId="0" fillId="2" borderId="1" xfId="0" applyNumberFormat="1" applyFill="1" applyBorder="1"/>
    <xf numFmtId="38" fontId="0" fillId="8" borderId="1" xfId="0" applyNumberFormat="1" applyFill="1" applyBorder="1"/>
    <xf numFmtId="38" fontId="0" fillId="2" borderId="1" xfId="0" applyNumberFormat="1" applyFill="1" applyBorder="1"/>
    <xf numFmtId="38" fontId="0" fillId="7" borderId="1" xfId="0" applyNumberFormat="1" applyFill="1" applyBorder="1"/>
    <xf numFmtId="38" fontId="0" fillId="7" borderId="20" xfId="0" applyNumberFormat="1" applyFill="1" applyBorder="1"/>
    <xf numFmtId="169" fontId="0" fillId="7" borderId="0" xfId="6" applyNumberFormat="1" applyFont="1" applyFill="1" applyBorder="1"/>
    <xf numFmtId="169" fontId="59" fillId="7" borderId="0" xfId="6" applyNumberFormat="1" applyFont="1" applyFill="1" applyBorder="1" applyAlignment="1">
      <alignment horizontal="left"/>
    </xf>
    <xf numFmtId="169" fontId="0" fillId="2" borderId="17" xfId="6" applyNumberFormat="1" applyFont="1" applyFill="1" applyBorder="1"/>
    <xf numFmtId="0" fontId="49" fillId="7" borderId="16" xfId="0" applyFont="1" applyFill="1" applyBorder="1"/>
    <xf numFmtId="0" fontId="17" fillId="7" borderId="21" xfId="0" applyFont="1" applyFill="1" applyBorder="1"/>
    <xf numFmtId="0" fontId="0" fillId="7" borderId="22" xfId="0" applyFill="1" applyBorder="1"/>
    <xf numFmtId="0" fontId="0" fillId="7" borderId="23" xfId="0" applyFill="1" applyBorder="1"/>
    <xf numFmtId="0" fontId="0" fillId="9" borderId="0" xfId="0" applyFill="1"/>
    <xf numFmtId="10" fontId="0" fillId="9" borderId="0" xfId="3" applyNumberFormat="1" applyFont="1" applyFill="1"/>
    <xf numFmtId="10" fontId="13" fillId="0" borderId="0" xfId="3" applyNumberFormat="1" applyFont="1" applyFill="1" applyBorder="1"/>
    <xf numFmtId="0" fontId="17" fillId="0" borderId="0" xfId="8"/>
    <xf numFmtId="0" fontId="17" fillId="2" borderId="0" xfId="8" applyFill="1"/>
    <xf numFmtId="0" fontId="17" fillId="2" borderId="0" xfId="8" applyFill="1" applyAlignment="1">
      <alignment horizontal="right"/>
    </xf>
    <xf numFmtId="38" fontId="17" fillId="0" borderId="0" xfId="8" applyNumberFormat="1"/>
    <xf numFmtId="169" fontId="17" fillId="0" borderId="0" xfId="8" applyNumberFormat="1"/>
    <xf numFmtId="38" fontId="17" fillId="2" borderId="0" xfId="8" applyNumberFormat="1" applyFill="1"/>
    <xf numFmtId="38" fontId="17" fillId="10" borderId="0" xfId="8" applyNumberFormat="1" applyFill="1"/>
    <xf numFmtId="38" fontId="17" fillId="5" borderId="24" xfId="8" applyNumberFormat="1" applyFill="1" applyBorder="1"/>
    <xf numFmtId="0" fontId="17" fillId="0" borderId="2" xfId="8" applyBorder="1" applyAlignment="1">
      <alignment horizontal="right"/>
    </xf>
    <xf numFmtId="0" fontId="17" fillId="0" borderId="2" xfId="8" applyBorder="1"/>
    <xf numFmtId="0" fontId="17" fillId="0" borderId="25" xfId="8" applyBorder="1"/>
    <xf numFmtId="0" fontId="17" fillId="0" borderId="26" xfId="8" applyBorder="1"/>
    <xf numFmtId="0" fontId="17" fillId="0" borderId="27" xfId="8" applyBorder="1"/>
    <xf numFmtId="38" fontId="17" fillId="0" borderId="26" xfId="8" applyNumberFormat="1" applyBorder="1"/>
    <xf numFmtId="169" fontId="0" fillId="0" borderId="0" xfId="6" applyNumberFormat="1" applyFont="1"/>
    <xf numFmtId="169" fontId="0" fillId="11" borderId="4" xfId="6" applyNumberFormat="1" applyFont="1" applyFill="1" applyBorder="1"/>
    <xf numFmtId="169" fontId="0" fillId="7" borderId="28" xfId="6" applyNumberFormat="1" applyFont="1" applyFill="1" applyBorder="1"/>
    <xf numFmtId="169" fontId="0" fillId="7" borderId="4" xfId="6" applyNumberFormat="1" applyFont="1" applyFill="1" applyBorder="1"/>
    <xf numFmtId="0" fontId="17" fillId="7" borderId="28" xfId="8" applyFill="1" applyBorder="1"/>
    <xf numFmtId="0" fontId="59" fillId="0" borderId="0" xfId="8" quotePrefix="1" applyFont="1"/>
    <xf numFmtId="0" fontId="17" fillId="0" borderId="0" xfId="8" applyAlignment="1">
      <alignment horizontal="center"/>
    </xf>
    <xf numFmtId="0" fontId="17" fillId="12" borderId="0" xfId="8" applyFill="1"/>
    <xf numFmtId="0" fontId="59" fillId="12" borderId="0" xfId="8" quotePrefix="1" applyFont="1" applyFill="1"/>
    <xf numFmtId="0" fontId="17" fillId="0" borderId="0" xfId="8" quotePrefix="1" applyAlignment="1">
      <alignment horizontal="center"/>
    </xf>
    <xf numFmtId="0" fontId="17" fillId="0" borderId="16" xfId="8" applyBorder="1"/>
    <xf numFmtId="0" fontId="59" fillId="0" borderId="0" xfId="8" applyFont="1"/>
    <xf numFmtId="38" fontId="17" fillId="10" borderId="16" xfId="8" applyNumberFormat="1" applyFill="1" applyBorder="1"/>
    <xf numFmtId="38" fontId="17" fillId="0" borderId="1" xfId="8" applyNumberFormat="1" applyBorder="1"/>
    <xf numFmtId="38" fontId="17" fillId="5" borderId="29" xfId="8" applyNumberFormat="1" applyFill="1" applyBorder="1"/>
    <xf numFmtId="10" fontId="17" fillId="5" borderId="0" xfId="8" applyNumberFormat="1" applyFill="1"/>
    <xf numFmtId="10" fontId="0" fillId="0" borderId="1" xfId="7" applyNumberFormat="1" applyFont="1" applyBorder="1" applyAlignment="1">
      <alignment horizontal="right"/>
    </xf>
    <xf numFmtId="169" fontId="0" fillId="0" borderId="29" xfId="6" applyNumberFormat="1" applyFont="1" applyBorder="1" applyAlignment="1">
      <alignment horizontal="right"/>
    </xf>
    <xf numFmtId="38" fontId="17" fillId="5" borderId="16" xfId="8" applyNumberFormat="1" applyFill="1" applyBorder="1"/>
    <xf numFmtId="10" fontId="0" fillId="5" borderId="2" xfId="7" applyNumberFormat="1" applyFont="1" applyFill="1" applyBorder="1"/>
    <xf numFmtId="10" fontId="17" fillId="0" borderId="0" xfId="7" applyNumberFormat="1" applyAlignment="1">
      <alignment horizontal="right"/>
    </xf>
    <xf numFmtId="169" fontId="17" fillId="0" borderId="16" xfId="6" applyNumberFormat="1" applyBorder="1" applyAlignment="1">
      <alignment horizontal="right"/>
    </xf>
    <xf numFmtId="38" fontId="17" fillId="9" borderId="0" xfId="8" applyNumberFormat="1" applyFill="1"/>
    <xf numFmtId="38" fontId="17" fillId="9" borderId="16" xfId="8" applyNumberFormat="1" applyFill="1" applyBorder="1"/>
    <xf numFmtId="10" fontId="17" fillId="9" borderId="0" xfId="7" applyNumberFormat="1" applyFill="1"/>
    <xf numFmtId="10" fontId="17" fillId="9" borderId="0" xfId="7" applyNumberFormat="1" applyFill="1" applyAlignment="1">
      <alignment horizontal="right"/>
    </xf>
    <xf numFmtId="169" fontId="17" fillId="9" borderId="16" xfId="6" quotePrefix="1" applyNumberFormat="1" applyFill="1" applyBorder="1" applyAlignment="1">
      <alignment horizontal="right"/>
    </xf>
    <xf numFmtId="0" fontId="17" fillId="9" borderId="0" xfId="8" quotePrefix="1" applyFill="1" applyAlignment="1">
      <alignment horizontal="center"/>
    </xf>
    <xf numFmtId="0" fontId="17" fillId="9" borderId="0" xfId="8" applyFill="1"/>
    <xf numFmtId="10" fontId="0" fillId="5" borderId="0" xfId="7" applyNumberFormat="1" applyFont="1" applyFill="1"/>
    <xf numFmtId="169" fontId="17" fillId="0" borderId="16" xfId="6" quotePrefix="1" applyNumberFormat="1" applyBorder="1" applyAlignment="1">
      <alignment horizontal="right"/>
    </xf>
    <xf numFmtId="38" fontId="17" fillId="13" borderId="0" xfId="8" applyNumberFormat="1" applyFill="1"/>
    <xf numFmtId="38" fontId="17" fillId="13" borderId="16" xfId="8" applyNumberFormat="1" applyFill="1" applyBorder="1"/>
    <xf numFmtId="10" fontId="0" fillId="13" borderId="0" xfId="7" applyNumberFormat="1" applyFont="1" applyFill="1"/>
    <xf numFmtId="10" fontId="17" fillId="13" borderId="0" xfId="7" applyNumberFormat="1" applyFill="1" applyAlignment="1">
      <alignment horizontal="right"/>
    </xf>
    <xf numFmtId="169" fontId="17" fillId="13" borderId="16" xfId="6" quotePrefix="1" applyNumberFormat="1" applyFill="1" applyBorder="1" applyAlignment="1">
      <alignment horizontal="right"/>
    </xf>
    <xf numFmtId="0" fontId="17" fillId="13" borderId="0" xfId="8" quotePrefix="1" applyFill="1" applyAlignment="1">
      <alignment horizontal="center"/>
    </xf>
    <xf numFmtId="0" fontId="17" fillId="13" borderId="0" xfId="8" applyFill="1"/>
    <xf numFmtId="169" fontId="17" fillId="0" borderId="16" xfId="6" quotePrefix="1" applyNumberFormat="1" applyFill="1" applyBorder="1" applyAlignment="1">
      <alignment horizontal="right"/>
    </xf>
    <xf numFmtId="10" fontId="17" fillId="5" borderId="0" xfId="7" applyNumberFormat="1" applyFill="1"/>
    <xf numFmtId="10" fontId="0" fillId="9" borderId="0" xfId="7" applyNumberFormat="1" applyFont="1" applyFill="1"/>
    <xf numFmtId="38" fontId="17" fillId="7" borderId="0" xfId="8" applyNumberFormat="1" applyFill="1"/>
    <xf numFmtId="10" fontId="0" fillId="5" borderId="1" xfId="7" applyNumberFormat="1" applyFont="1" applyFill="1" applyBorder="1"/>
    <xf numFmtId="0" fontId="28" fillId="0" borderId="2" xfId="8" applyFont="1" applyBorder="1" applyAlignment="1">
      <alignment horizontal="center"/>
    </xf>
    <xf numFmtId="0" fontId="28" fillId="5" borderId="18" xfId="8" applyFont="1" applyFill="1" applyBorder="1" applyAlignment="1">
      <alignment horizontal="center"/>
    </xf>
    <xf numFmtId="0" fontId="28" fillId="5" borderId="0" xfId="8" applyFont="1" applyFill="1" applyAlignment="1">
      <alignment horizontal="center"/>
    </xf>
    <xf numFmtId="0" fontId="28" fillId="0" borderId="18" xfId="8" applyFont="1" applyBorder="1" applyAlignment="1">
      <alignment horizontal="center"/>
    </xf>
    <xf numFmtId="0" fontId="28" fillId="0" borderId="16" xfId="8" applyFont="1" applyBorder="1" applyAlignment="1">
      <alignment horizontal="center"/>
    </xf>
    <xf numFmtId="0" fontId="28" fillId="0" borderId="0" xfId="8" applyFont="1" applyAlignment="1">
      <alignment horizontal="center"/>
    </xf>
    <xf numFmtId="0" fontId="19" fillId="0" borderId="0" xfId="8" applyFont="1" applyAlignment="1">
      <alignment horizontal="centerContinuous"/>
    </xf>
    <xf numFmtId="0" fontId="17" fillId="0" borderId="0" xfId="8" applyAlignment="1">
      <alignment horizontal="centerContinuous"/>
    </xf>
    <xf numFmtId="0" fontId="17" fillId="0" borderId="16" xfId="8" applyBorder="1" applyAlignment="1">
      <alignment horizontal="centerContinuous"/>
    </xf>
    <xf numFmtId="14" fontId="19" fillId="0" borderId="0" xfId="8" applyNumberFormat="1" applyFont="1" applyAlignment="1">
      <alignment horizontal="centerContinuous"/>
    </xf>
    <xf numFmtId="0" fontId="17" fillId="8" borderId="0" xfId="8" applyFill="1" applyAlignment="1">
      <alignment horizontal="centerContinuous"/>
    </xf>
    <xf numFmtId="10" fontId="28" fillId="8" borderId="0" xfId="8" applyNumberFormat="1" applyFont="1" applyFill="1" applyAlignment="1">
      <alignment horizontal="left"/>
    </xf>
    <xf numFmtId="0" fontId="60" fillId="8" borderId="0" xfId="8" applyFont="1" applyFill="1" applyAlignment="1">
      <alignment horizontal="right"/>
    </xf>
    <xf numFmtId="0" fontId="60" fillId="8" borderId="0" xfId="8" applyFont="1" applyFill="1" applyAlignment="1">
      <alignment horizontal="left"/>
    </xf>
    <xf numFmtId="0" fontId="17" fillId="8" borderId="0" xfId="8" applyFill="1"/>
    <xf numFmtId="0" fontId="28" fillId="8" borderId="0" xfId="8" applyFont="1" applyFill="1"/>
    <xf numFmtId="0" fontId="18" fillId="0" borderId="0" xfId="0" applyFont="1" applyAlignment="1">
      <alignment horizontal="left"/>
    </xf>
    <xf numFmtId="41" fontId="13" fillId="0" borderId="0" xfId="0" applyNumberFormat="1" applyFont="1"/>
    <xf numFmtId="0" fontId="13" fillId="0" borderId="2" xfId="0" applyFont="1" applyBorder="1" applyAlignment="1">
      <alignment horizontal="center" wrapText="1"/>
    </xf>
    <xf numFmtId="10" fontId="13" fillId="0" borderId="0" xfId="3" applyNumberFormat="1" applyFont="1" applyFill="1"/>
    <xf numFmtId="10" fontId="13" fillId="5" borderId="0" xfId="0" applyNumberFormat="1" applyFont="1" applyFill="1"/>
    <xf numFmtId="10" fontId="13" fillId="0" borderId="0" xfId="0" applyNumberFormat="1" applyFont="1"/>
    <xf numFmtId="0" fontId="40" fillId="0" borderId="0" xfId="0" applyFont="1" applyAlignment="1">
      <alignment horizontal="left" vertical="top" wrapText="1"/>
    </xf>
    <xf numFmtId="0" fontId="17" fillId="0" borderId="0" xfId="5" applyAlignment="1">
      <alignment horizontal="center"/>
    </xf>
  </cellXfs>
  <cellStyles count="9">
    <cellStyle name="Comma" xfId="1" builtinId="3"/>
    <cellStyle name="Comma 2" xfId="6" xr:uid="{00000000-0005-0000-0000-000001000000}"/>
    <cellStyle name="Currency" xfId="2" builtinId="4"/>
    <cellStyle name="Normal" xfId="0" builtinId="0"/>
    <cellStyle name="Normal 2" xfId="4" xr:uid="{00000000-0005-0000-0000-000004000000}"/>
    <cellStyle name="Normal 2 2" xfId="8" xr:uid="{191853E0-8FE7-4F15-9884-ED2340C4064D}"/>
    <cellStyle name="Normal 3" xfId="5" xr:uid="{00000000-0005-0000-0000-000005000000}"/>
    <cellStyle name="Percent" xfId="3" builtinId="5"/>
    <cellStyle name="Percent 2" xfId="7" xr:uid="{00000000-0005-0000-0000-000007000000}"/>
  </cellStyles>
  <dxfs count="0"/>
  <tableStyles count="0" defaultTableStyle="TableStyleMedium9" defaultPivotStyle="PivotStyleLight16"/>
  <colors>
    <mruColors>
      <color rgb="FFFFFF99"/>
      <color rgb="FFFF3300"/>
      <color rgb="FF008000"/>
      <color rgb="FFFF33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12</xdr:row>
      <xdr:rowOff>0</xdr:rowOff>
    </xdr:from>
    <xdr:ext cx="10396771" cy="7180969"/>
    <xdr:pic>
      <xdr:nvPicPr>
        <xdr:cNvPr id="2" name="Picture 1">
          <a:extLst>
            <a:ext uri="{FF2B5EF4-FFF2-40B4-BE49-F238E27FC236}">
              <a16:creationId xmlns:a16="http://schemas.microsoft.com/office/drawing/2014/main" id="{F15CACEC-3BB0-4C53-BE77-2EF0C9F7F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2171700"/>
          <a:ext cx="10396771" cy="718096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9525</xdr:rowOff>
    </xdr:from>
    <xdr:to>
      <xdr:col>3</xdr:col>
      <xdr:colOff>95250</xdr:colOff>
      <xdr:row>11</xdr:row>
      <xdr:rowOff>66675</xdr:rowOff>
    </xdr:to>
    <xdr:sp macro="" textlink="">
      <xdr:nvSpPr>
        <xdr:cNvPr id="2" name="Double Bracket 1">
          <a:extLst>
            <a:ext uri="{FF2B5EF4-FFF2-40B4-BE49-F238E27FC236}">
              <a16:creationId xmlns:a16="http://schemas.microsoft.com/office/drawing/2014/main" id="{569655B0-A5D1-4EB1-B127-F8910485A32A}"/>
            </a:ext>
          </a:extLst>
        </xdr:cNvPr>
        <xdr:cNvSpPr/>
      </xdr:nvSpPr>
      <xdr:spPr>
        <a:xfrm>
          <a:off x="981075" y="1581150"/>
          <a:ext cx="790575" cy="647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47625</xdr:rowOff>
    </xdr:from>
    <xdr:to>
      <xdr:col>9</xdr:col>
      <xdr:colOff>649335</xdr:colOff>
      <xdr:row>20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EF2C3B-890E-47E3-A514-2B415A2D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90550"/>
          <a:ext cx="6602460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lissa LaBuda" id="{E33D523C-F6E5-4B8F-8A1D-995025CA16A1}" userId="S::Melissa.LaBuda@phila.gov::824f7279-6918-478e-a029-1630952ff72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2" dT="2021-10-07T16:06:15.95" personId="{E33D523C-F6E5-4B8F-8A1D-995025CA16A1}" id="{95750FDD-C7A5-48EE-B051-3817F77177D9}">
    <text>includes $3.2M of FY20 costs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5"/>
  <sheetViews>
    <sheetView zoomScaleNormal="100" workbookViewId="0">
      <selection activeCell="A25" sqref="A25"/>
    </sheetView>
  </sheetViews>
  <sheetFormatPr defaultRowHeight="14.25" x14ac:dyDescent="0.2"/>
  <sheetData>
    <row r="3" spans="1:7" ht="15" x14ac:dyDescent="0.25">
      <c r="A3" s="72" t="s">
        <v>52</v>
      </c>
      <c r="B3" s="72"/>
      <c r="C3" s="72"/>
      <c r="D3" s="72"/>
      <c r="E3" s="72"/>
      <c r="F3" s="72"/>
    </row>
    <row r="4" spans="1:7" x14ac:dyDescent="0.2">
      <c r="A4" s="71">
        <v>6250</v>
      </c>
      <c r="B4" s="71" t="s">
        <v>48</v>
      </c>
      <c r="C4" s="71"/>
      <c r="D4" s="71"/>
      <c r="E4" s="71"/>
    </row>
    <row r="5" spans="1:7" x14ac:dyDescent="0.2">
      <c r="A5" s="71">
        <v>6870</v>
      </c>
      <c r="B5" s="71" t="s">
        <v>49</v>
      </c>
      <c r="C5" s="71"/>
      <c r="D5" s="71"/>
      <c r="E5" s="71"/>
    </row>
    <row r="8" spans="1:7" ht="15" x14ac:dyDescent="0.25">
      <c r="A8" s="72" t="s">
        <v>55</v>
      </c>
      <c r="B8" s="72"/>
      <c r="C8" s="72"/>
      <c r="D8" s="72"/>
      <c r="E8" s="72"/>
      <c r="F8" s="72"/>
    </row>
    <row r="9" spans="1:7" x14ac:dyDescent="0.2">
      <c r="A9" s="70" t="s">
        <v>53</v>
      </c>
      <c r="B9" s="70"/>
      <c r="C9" s="70"/>
      <c r="D9" s="70"/>
      <c r="E9" s="70"/>
      <c r="F9" s="70"/>
      <c r="G9" s="70"/>
    </row>
    <row r="10" spans="1:7" ht="4.5" customHeight="1" x14ac:dyDescent="0.2">
      <c r="A10" s="70"/>
      <c r="B10" s="70"/>
      <c r="C10" s="70"/>
      <c r="D10" s="70"/>
      <c r="E10" s="70"/>
      <c r="F10" s="70"/>
      <c r="G10" s="70"/>
    </row>
    <row r="11" spans="1:7" x14ac:dyDescent="0.2">
      <c r="A11" s="70" t="s">
        <v>54</v>
      </c>
      <c r="B11" s="70"/>
      <c r="C11" s="70"/>
      <c r="D11" s="70"/>
      <c r="E11" s="70"/>
      <c r="F11" s="70"/>
      <c r="G11" s="70"/>
    </row>
    <row r="12" spans="1:7" ht="4.5" customHeight="1" x14ac:dyDescent="0.2">
      <c r="A12" s="70"/>
      <c r="B12" s="70"/>
      <c r="C12" s="70"/>
      <c r="D12" s="70"/>
      <c r="E12" s="70"/>
      <c r="F12" s="70"/>
      <c r="G12" s="70"/>
    </row>
    <row r="13" spans="1:7" x14ac:dyDescent="0.2">
      <c r="A13" s="70" t="s">
        <v>60</v>
      </c>
      <c r="B13" s="70"/>
      <c r="C13" s="70"/>
      <c r="D13" s="70"/>
      <c r="E13" s="70"/>
      <c r="F13" s="70"/>
      <c r="G13" s="70"/>
    </row>
    <row r="14" spans="1:7" ht="3.75" customHeight="1" x14ac:dyDescent="0.2">
      <c r="A14" s="70"/>
      <c r="B14" s="70"/>
      <c r="C14" s="70"/>
      <c r="D14" s="70"/>
      <c r="E14" s="70"/>
      <c r="F14" s="70"/>
      <c r="G14" s="70"/>
    </row>
    <row r="15" spans="1:7" x14ac:dyDescent="0.2">
      <c r="A15" s="70" t="s">
        <v>105</v>
      </c>
      <c r="B15" s="70"/>
      <c r="C15" s="70"/>
      <c r="D15" s="70"/>
      <c r="E15" s="70"/>
      <c r="F15" s="70"/>
      <c r="G15" s="70"/>
    </row>
    <row r="16" spans="1:7" ht="4.5" customHeight="1" x14ac:dyDescent="0.2"/>
    <row r="17" spans="1:6" x14ac:dyDescent="0.2">
      <c r="A17" s="70" t="s">
        <v>59</v>
      </c>
    </row>
    <row r="18" spans="1:6" ht="6.75" customHeight="1" x14ac:dyDescent="0.2">
      <c r="A18" s="70"/>
    </row>
    <row r="19" spans="1:6" x14ac:dyDescent="0.2">
      <c r="A19" s="70" t="s">
        <v>72</v>
      </c>
      <c r="B19" s="70"/>
      <c r="C19" s="70"/>
      <c r="D19" s="70"/>
      <c r="E19" s="70"/>
      <c r="F19" s="70"/>
    </row>
    <row r="20" spans="1:6" ht="15" x14ac:dyDescent="0.25">
      <c r="A20" s="72" t="s">
        <v>61</v>
      </c>
      <c r="B20" s="72"/>
      <c r="C20" s="72"/>
      <c r="D20" s="72"/>
      <c r="E20" s="72"/>
      <c r="F20" s="72"/>
    </row>
    <row r="21" spans="1:6" x14ac:dyDescent="0.2">
      <c r="A21" s="70" t="s">
        <v>56</v>
      </c>
    </row>
    <row r="22" spans="1:6" ht="4.5" customHeight="1" x14ac:dyDescent="0.2"/>
    <row r="23" spans="1:6" x14ac:dyDescent="0.2">
      <c r="A23" s="70" t="s">
        <v>57</v>
      </c>
    </row>
    <row r="24" spans="1:6" ht="4.5" customHeight="1" x14ac:dyDescent="0.2"/>
    <row r="25" spans="1:6" x14ac:dyDescent="0.2">
      <c r="A25" s="70" t="s">
        <v>58</v>
      </c>
    </row>
  </sheetData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84"/>
  <sheetViews>
    <sheetView tabSelected="1" zoomScale="90" zoomScaleNormal="90" workbookViewId="0">
      <pane xSplit="12" ySplit="6" topLeftCell="O63" activePane="bottomRight" state="frozen"/>
      <selection pane="topRight" activeCell="M1" sqref="M1"/>
      <selection pane="bottomLeft" activeCell="A7" sqref="A7"/>
      <selection pane="bottomRight" activeCell="Y77" sqref="Y77"/>
    </sheetView>
  </sheetViews>
  <sheetFormatPr defaultColWidth="9" defaultRowHeight="12.75" x14ac:dyDescent="0.2"/>
  <cols>
    <col min="1" max="1" width="5.375" style="1" customWidth="1"/>
    <col min="2" max="2" width="31.125" style="1" customWidth="1"/>
    <col min="3" max="3" width="7.875" style="1" customWidth="1"/>
    <col min="4" max="4" width="14.5" style="1" hidden="1" customWidth="1"/>
    <col min="5" max="6" width="14.375" style="1" hidden="1" customWidth="1"/>
    <col min="7" max="7" width="14.25" style="1" hidden="1" customWidth="1"/>
    <col min="8" max="10" width="13.375" style="1" hidden="1" customWidth="1"/>
    <col min="11" max="13" width="12.625" style="1" hidden="1" customWidth="1"/>
    <col min="14" max="14" width="13.5" style="1" hidden="1" customWidth="1"/>
    <col min="15" max="15" width="15.25" style="17" customWidth="1"/>
    <col min="16" max="16" width="12.25" style="1" customWidth="1"/>
    <col min="17" max="17" width="15.625" style="1" customWidth="1"/>
    <col min="18" max="18" width="15.875" style="1" customWidth="1"/>
    <col min="19" max="19" width="15.625" style="1" customWidth="1"/>
    <col min="20" max="20" width="16.125" style="1" customWidth="1"/>
    <col min="21" max="23" width="15.625" style="1" customWidth="1"/>
    <col min="24" max="16384" width="9" style="1"/>
  </cols>
  <sheetData>
    <row r="1" spans="1:30" ht="52.5" customHeight="1" x14ac:dyDescent="0.2">
      <c r="B1" s="136">
        <v>45512</v>
      </c>
      <c r="M1" s="95"/>
      <c r="N1" s="166"/>
      <c r="P1" s="19"/>
    </row>
    <row r="2" spans="1:30" x14ac:dyDescent="0.2">
      <c r="B2" s="11" t="s">
        <v>46</v>
      </c>
      <c r="H2" s="12"/>
      <c r="I2" s="3"/>
      <c r="J2" s="3"/>
      <c r="L2" s="77"/>
      <c r="M2" s="123"/>
      <c r="O2" s="181"/>
      <c r="P2" s="19"/>
      <c r="Q2" s="199"/>
      <c r="R2" s="199"/>
      <c r="S2" s="199"/>
      <c r="T2" s="199"/>
      <c r="U2" s="199"/>
      <c r="V2" s="199"/>
      <c r="W2" s="199"/>
    </row>
    <row r="3" spans="1:30" ht="6" customHeight="1" x14ac:dyDescent="0.2">
      <c r="F3" s="2"/>
      <c r="G3" s="2"/>
      <c r="H3" s="2"/>
      <c r="I3" s="2"/>
      <c r="J3" s="2"/>
      <c r="M3" s="17"/>
    </row>
    <row r="4" spans="1:30" x14ac:dyDescent="0.2">
      <c r="D4" s="2" t="s">
        <v>43</v>
      </c>
      <c r="E4" s="2" t="s">
        <v>42</v>
      </c>
      <c r="F4" s="2" t="s">
        <v>41</v>
      </c>
      <c r="G4" s="2" t="s">
        <v>40</v>
      </c>
      <c r="H4" s="2" t="s">
        <v>23</v>
      </c>
      <c r="I4" s="2" t="s">
        <v>22</v>
      </c>
      <c r="J4" s="2" t="s">
        <v>24</v>
      </c>
      <c r="K4" s="2" t="s">
        <v>39</v>
      </c>
      <c r="L4" s="2" t="s">
        <v>44</v>
      </c>
      <c r="M4" s="93" t="s">
        <v>45</v>
      </c>
      <c r="N4" s="2" t="s">
        <v>116</v>
      </c>
      <c r="O4" s="2" t="s">
        <v>148</v>
      </c>
      <c r="P4" s="186"/>
      <c r="Q4" s="2" t="s">
        <v>173</v>
      </c>
      <c r="R4" s="2" t="s">
        <v>174</v>
      </c>
      <c r="S4" s="2" t="s">
        <v>175</v>
      </c>
      <c r="T4" s="2" t="s">
        <v>176</v>
      </c>
      <c r="U4" s="2" t="s">
        <v>177</v>
      </c>
      <c r="V4" s="2" t="s">
        <v>178</v>
      </c>
      <c r="W4" s="2" t="s">
        <v>179</v>
      </c>
      <c r="Y4" s="205" t="s">
        <v>181</v>
      </c>
      <c r="Z4" s="205" t="s">
        <v>182</v>
      </c>
      <c r="AA4" s="205" t="s">
        <v>183</v>
      </c>
      <c r="AB4" s="205" t="s">
        <v>184</v>
      </c>
      <c r="AC4" s="205" t="s">
        <v>185</v>
      </c>
    </row>
    <row r="5" spans="1:30" s="112" customFormat="1" ht="54.6" customHeight="1" x14ac:dyDescent="0.2">
      <c r="B5" s="117"/>
      <c r="C5" s="117" t="s">
        <v>1</v>
      </c>
      <c r="D5" s="117" t="s">
        <v>2</v>
      </c>
      <c r="E5" s="117" t="s">
        <v>2</v>
      </c>
      <c r="F5" s="117" t="s">
        <v>2</v>
      </c>
      <c r="G5" s="117" t="s">
        <v>2</v>
      </c>
      <c r="H5" s="117" t="str">
        <f>G5</f>
        <v>Actual</v>
      </c>
      <c r="I5" s="117" t="s">
        <v>20</v>
      </c>
      <c r="J5" s="117" t="s">
        <v>2</v>
      </c>
      <c r="K5" s="118" t="s">
        <v>82</v>
      </c>
      <c r="L5" s="118" t="s">
        <v>82</v>
      </c>
      <c r="M5" s="119" t="s">
        <v>107</v>
      </c>
      <c r="N5" s="120" t="s">
        <v>136</v>
      </c>
      <c r="O5" s="120" t="s">
        <v>157</v>
      </c>
      <c r="P5" s="120" t="s">
        <v>169</v>
      </c>
      <c r="Q5" s="120" t="s">
        <v>157</v>
      </c>
      <c r="R5" s="120" t="s">
        <v>280</v>
      </c>
      <c r="S5" s="120" t="s">
        <v>89</v>
      </c>
      <c r="T5" s="120" t="s">
        <v>180</v>
      </c>
      <c r="U5" s="120" t="s">
        <v>180</v>
      </c>
      <c r="V5" s="120" t="s">
        <v>180</v>
      </c>
      <c r="W5" s="120" t="s">
        <v>180</v>
      </c>
    </row>
    <row r="6" spans="1:30" x14ac:dyDescent="0.2">
      <c r="H6" s="12"/>
      <c r="I6" s="3"/>
      <c r="J6" s="3"/>
      <c r="M6" s="17"/>
      <c r="O6" s="138"/>
    </row>
    <row r="7" spans="1:30" ht="18" customHeight="1" x14ac:dyDescent="0.2">
      <c r="B7" s="1" t="s">
        <v>3</v>
      </c>
      <c r="C7" s="4" t="s">
        <v>4</v>
      </c>
      <c r="D7" s="5">
        <v>45677.17</v>
      </c>
      <c r="E7" s="5">
        <v>39881.26</v>
      </c>
      <c r="F7" s="5">
        <v>41884.239999999998</v>
      </c>
      <c r="G7" s="5">
        <v>22233.85</v>
      </c>
      <c r="H7" s="6">
        <v>29595</v>
      </c>
      <c r="I7" s="7">
        <v>30000</v>
      </c>
      <c r="J7" s="7">
        <v>26548</v>
      </c>
      <c r="K7" s="7">
        <v>31161</v>
      </c>
      <c r="L7" s="13">
        <v>33081</v>
      </c>
      <c r="M7" s="13">
        <v>32780</v>
      </c>
      <c r="N7" s="164">
        <v>0</v>
      </c>
      <c r="O7" s="139">
        <v>36053</v>
      </c>
      <c r="P7" s="168">
        <v>44363</v>
      </c>
      <c r="Q7" s="168">
        <v>46234.26</v>
      </c>
      <c r="R7" s="168">
        <v>84420</v>
      </c>
      <c r="S7" s="168">
        <v>301184</v>
      </c>
      <c r="T7" s="13">
        <v>303292.28799999994</v>
      </c>
      <c r="U7" s="13">
        <v>303292.28799999994</v>
      </c>
      <c r="V7" s="13">
        <v>303292.28799999994</v>
      </c>
      <c r="W7" s="13">
        <v>303292.28799999994</v>
      </c>
      <c r="Y7" s="206">
        <v>7.0000000000000001E-3</v>
      </c>
      <c r="Z7" s="206">
        <v>0</v>
      </c>
      <c r="AA7" s="206">
        <v>0</v>
      </c>
      <c r="AB7" s="206">
        <v>0</v>
      </c>
      <c r="AC7" s="206">
        <v>0</v>
      </c>
      <c r="AD7" s="1" t="s">
        <v>186</v>
      </c>
    </row>
    <row r="8" spans="1:30" ht="18" customHeight="1" x14ac:dyDescent="0.2">
      <c r="B8" s="1" t="s">
        <v>35</v>
      </c>
      <c r="C8" s="4" t="s">
        <v>5</v>
      </c>
      <c r="D8" s="5">
        <v>1544586.17</v>
      </c>
      <c r="E8" s="5">
        <v>2210525.67</v>
      </c>
      <c r="F8" s="5">
        <v>1703485.12</v>
      </c>
      <c r="G8" s="5">
        <v>1327564.1299999999</v>
      </c>
      <c r="H8" s="6">
        <v>1859758</v>
      </c>
      <c r="I8" s="7">
        <v>2400000</v>
      </c>
      <c r="J8" s="7">
        <v>1771007</v>
      </c>
      <c r="K8" s="7">
        <v>2172410</v>
      </c>
      <c r="L8" s="13">
        <v>2998991</v>
      </c>
      <c r="M8" s="13">
        <v>2295309</v>
      </c>
      <c r="N8" s="13">
        <v>2576382</v>
      </c>
      <c r="O8" s="139">
        <v>2364011</v>
      </c>
      <c r="P8" s="168">
        <v>2890507</v>
      </c>
      <c r="Q8" s="168">
        <v>3154629.69</v>
      </c>
      <c r="R8" s="168">
        <v>3202337</v>
      </c>
      <c r="S8" s="168">
        <v>4100000</v>
      </c>
      <c r="T8" s="213">
        <f>ROUND((S8*1.0435),-4)</f>
        <v>4280000</v>
      </c>
      <c r="U8" s="213">
        <f t="shared" ref="U8:W8" si="0">ROUND((T8*1.0435),-4)</f>
        <v>4470000</v>
      </c>
      <c r="V8" s="213">
        <f t="shared" si="0"/>
        <v>4660000</v>
      </c>
      <c r="W8" s="213">
        <f t="shared" si="0"/>
        <v>4860000</v>
      </c>
      <c r="Y8" s="206">
        <v>0.16600000000000001</v>
      </c>
      <c r="Z8" s="206">
        <v>4.1000000000000002E-2</v>
      </c>
      <c r="AA8" s="206">
        <v>3.6999999999999998E-2</v>
      </c>
      <c r="AB8" s="206">
        <v>3.3000000000000002E-2</v>
      </c>
      <c r="AC8" s="206">
        <v>0.03</v>
      </c>
      <c r="AD8" s="259" t="s">
        <v>194</v>
      </c>
    </row>
    <row r="9" spans="1:30" ht="18" customHeight="1" x14ac:dyDescent="0.2">
      <c r="B9" s="1" t="s">
        <v>36</v>
      </c>
      <c r="C9" s="4" t="s">
        <v>6</v>
      </c>
      <c r="D9" s="5">
        <v>1866770.83</v>
      </c>
      <c r="E9" s="5">
        <v>1405550.13</v>
      </c>
      <c r="F9" s="5">
        <v>1674689.39</v>
      </c>
      <c r="G9" s="5">
        <v>1741455.87</v>
      </c>
      <c r="H9" s="6">
        <v>1756884</v>
      </c>
      <c r="I9" s="7">
        <v>2000000</v>
      </c>
      <c r="J9" s="7">
        <v>2018262</v>
      </c>
      <c r="K9" s="7">
        <v>1897752</v>
      </c>
      <c r="L9" s="13">
        <v>2444376</v>
      </c>
      <c r="M9" s="13">
        <v>3002414</v>
      </c>
      <c r="N9" s="13">
        <v>2363177</v>
      </c>
      <c r="O9" s="139">
        <v>2683410</v>
      </c>
      <c r="P9" s="168">
        <v>2878367</v>
      </c>
      <c r="Q9" s="168">
        <v>2610281.0099999998</v>
      </c>
      <c r="R9" s="168">
        <v>3258950</v>
      </c>
      <c r="S9" s="168">
        <v>3500000</v>
      </c>
      <c r="T9" s="213">
        <f>ROUND((S9*1.0435),-4)</f>
        <v>3650000</v>
      </c>
      <c r="U9" s="213">
        <f t="shared" ref="U9:W9" si="1">ROUND((T9*1.0435),-4)</f>
        <v>3810000</v>
      </c>
      <c r="V9" s="213">
        <f t="shared" si="1"/>
        <v>3980000</v>
      </c>
      <c r="W9" s="213">
        <f t="shared" si="1"/>
        <v>4150000</v>
      </c>
      <c r="Y9" s="206">
        <v>0.16600000000000001</v>
      </c>
      <c r="Z9" s="206">
        <v>4.1000000000000002E-2</v>
      </c>
      <c r="AA9" s="206">
        <v>3.6999999999999998E-2</v>
      </c>
      <c r="AB9" s="206">
        <v>3.3000000000000002E-2</v>
      </c>
      <c r="AC9" s="206">
        <v>0.03</v>
      </c>
      <c r="AD9" s="259" t="s">
        <v>194</v>
      </c>
    </row>
    <row r="10" spans="1:30" ht="18" customHeight="1" x14ac:dyDescent="0.2">
      <c r="A10" s="1" t="s">
        <v>79</v>
      </c>
      <c r="B10" s="49" t="s">
        <v>78</v>
      </c>
      <c r="C10" s="52" t="s">
        <v>7</v>
      </c>
      <c r="D10" s="50">
        <v>1450851.02</v>
      </c>
      <c r="E10" s="50">
        <v>1457062.99</v>
      </c>
      <c r="F10" s="50">
        <v>1448298.34</v>
      </c>
      <c r="G10" s="50">
        <v>1506359.23</v>
      </c>
      <c r="H10" s="51">
        <v>1640330</v>
      </c>
      <c r="I10" s="51">
        <v>1800000</v>
      </c>
      <c r="J10" s="51">
        <v>1646071</v>
      </c>
      <c r="K10" s="51">
        <v>1815972</v>
      </c>
      <c r="L10" s="13">
        <v>2118791</v>
      </c>
      <c r="M10" s="13">
        <v>2046296</v>
      </c>
      <c r="N10" s="13">
        <v>2332759</v>
      </c>
      <c r="O10" s="139">
        <v>2302832</v>
      </c>
      <c r="P10" s="168">
        <v>2438702</v>
      </c>
      <c r="Q10" s="168">
        <v>2500015.09</v>
      </c>
      <c r="R10" s="168">
        <v>2699664</v>
      </c>
      <c r="S10" s="168">
        <v>2917215</v>
      </c>
      <c r="T10" s="198">
        <f>S10*'FICA Projection'!$O$3</f>
        <v>2959514.6174999997</v>
      </c>
      <c r="U10" s="198">
        <f>T10*'FICA Projection'!$O$3</f>
        <v>3002427.5794537496</v>
      </c>
      <c r="V10" s="198">
        <f>U10*'FICA Projection'!$O$3</f>
        <v>3045962.7793558287</v>
      </c>
      <c r="W10" s="198">
        <f>V10*'FICA Projection'!$O$3</f>
        <v>3090129.2396564879</v>
      </c>
      <c r="Y10" s="206"/>
      <c r="Z10" s="206"/>
      <c r="AA10" s="206"/>
      <c r="AB10" s="206"/>
      <c r="AC10" s="206"/>
      <c r="AD10" s="208" t="s">
        <v>274</v>
      </c>
    </row>
    <row r="11" spans="1:30" ht="18" customHeight="1" x14ac:dyDescent="0.2">
      <c r="B11" s="1" t="s">
        <v>37</v>
      </c>
      <c r="C11" s="4" t="s">
        <v>8</v>
      </c>
      <c r="D11" s="5">
        <v>9449462.1199999992</v>
      </c>
      <c r="E11" s="5">
        <v>9843047.5299999993</v>
      </c>
      <c r="F11" s="5">
        <v>20452251.629999999</v>
      </c>
      <c r="G11" s="5">
        <v>22450402.66</v>
      </c>
      <c r="H11" s="6">
        <v>11415451</v>
      </c>
      <c r="I11" s="7">
        <v>12100000</v>
      </c>
      <c r="J11" s="7">
        <v>12468686</v>
      </c>
      <c r="K11" s="7">
        <v>13362362</v>
      </c>
      <c r="L11" s="13">
        <v>14290585</v>
      </c>
      <c r="M11" s="94">
        <v>14170374.76</v>
      </c>
      <c r="N11" s="168">
        <v>15686125</v>
      </c>
      <c r="O11" s="13">
        <v>4514537</v>
      </c>
      <c r="P11" s="168">
        <f>5357404+3183915.28</f>
        <v>8541319.2799999993</v>
      </c>
      <c r="Q11" s="168">
        <v>10794659.439999999</v>
      </c>
      <c r="R11" s="168">
        <v>12561187</v>
      </c>
      <c r="S11" s="168">
        <v>12418208</v>
      </c>
      <c r="T11" s="94">
        <v>12045661.76</v>
      </c>
      <c r="U11" s="94">
        <v>12045661.76</v>
      </c>
      <c r="V11" s="94">
        <v>12142027.05408</v>
      </c>
      <c r="W11" s="94">
        <v>12142027.05408</v>
      </c>
      <c r="X11" s="17"/>
      <c r="Y11" s="206">
        <v>-0.03</v>
      </c>
      <c r="Z11" s="206">
        <v>0</v>
      </c>
      <c r="AA11" s="206">
        <v>8.0000000000000002E-3</v>
      </c>
      <c r="AB11" s="206">
        <v>0</v>
      </c>
      <c r="AC11" s="206">
        <v>0.54200000000000004</v>
      </c>
      <c r="AD11" s="1" t="s">
        <v>186</v>
      </c>
    </row>
    <row r="12" spans="1:30" ht="18" customHeight="1" x14ac:dyDescent="0.2">
      <c r="B12" s="1" t="s">
        <v>9</v>
      </c>
      <c r="C12" s="4" t="s">
        <v>10</v>
      </c>
      <c r="D12" s="5">
        <v>32719111.77</v>
      </c>
      <c r="E12" s="5">
        <v>38770167.119999997</v>
      </c>
      <c r="F12" s="5">
        <v>35507146.670000002</v>
      </c>
      <c r="G12" s="5">
        <v>38305051.789999999</v>
      </c>
      <c r="H12" s="6">
        <v>40861335</v>
      </c>
      <c r="I12" s="7">
        <v>45700000</v>
      </c>
      <c r="J12" s="7">
        <v>46646526</v>
      </c>
      <c r="K12" s="7">
        <v>55552440</v>
      </c>
      <c r="L12" s="13">
        <v>62666813</v>
      </c>
      <c r="M12" s="13">
        <v>64686954.280000001</v>
      </c>
      <c r="N12" s="13">
        <v>71612808.409999996</v>
      </c>
      <c r="O12" s="168">
        <v>81201618.829999998</v>
      </c>
      <c r="P12" s="168">
        <v>58970176</v>
      </c>
      <c r="Q12" s="168">
        <v>57818972.57</v>
      </c>
      <c r="R12" s="168">
        <v>60819644</v>
      </c>
      <c r="S12" s="168">
        <v>59532840</v>
      </c>
      <c r="T12" s="198">
        <v>60583560</v>
      </c>
      <c r="U12" s="198">
        <v>60137800</v>
      </c>
      <c r="V12" s="198">
        <v>60098000</v>
      </c>
      <c r="W12" s="198">
        <v>59731840</v>
      </c>
      <c r="X12" s="167"/>
      <c r="Y12" s="206"/>
      <c r="Z12" s="206"/>
      <c r="AA12" s="206"/>
      <c r="AB12" s="206"/>
      <c r="AC12" s="206"/>
      <c r="AD12" s="1" t="s">
        <v>273</v>
      </c>
    </row>
    <row r="13" spans="1:30" ht="18" customHeight="1" x14ac:dyDescent="0.2">
      <c r="A13" s="1" t="s">
        <v>79</v>
      </c>
      <c r="B13" s="49" t="s">
        <v>11</v>
      </c>
      <c r="C13" s="52" t="s">
        <v>12</v>
      </c>
      <c r="D13" s="50">
        <v>6193948.5499999998</v>
      </c>
      <c r="E13" s="50">
        <v>4215287.1399999997</v>
      </c>
      <c r="F13" s="50">
        <v>6258944.96</v>
      </c>
      <c r="G13" s="50">
        <v>6436898.7000000002</v>
      </c>
      <c r="H13" s="51">
        <v>7002249</v>
      </c>
      <c r="I13" s="51">
        <v>7250053</v>
      </c>
      <c r="J13" s="51">
        <v>7025657</v>
      </c>
      <c r="K13" s="51">
        <v>6929697</v>
      </c>
      <c r="L13" s="13">
        <v>8973790</v>
      </c>
      <c r="M13" s="13">
        <v>8740159</v>
      </c>
      <c r="N13" s="13">
        <v>9946371</v>
      </c>
      <c r="O13" s="139">
        <v>9796433</v>
      </c>
      <c r="P13" s="168">
        <v>10417606</v>
      </c>
      <c r="Q13" s="168">
        <v>10679562.75</v>
      </c>
      <c r="R13" s="168">
        <v>11531694</v>
      </c>
      <c r="S13" s="168">
        <v>12219242</v>
      </c>
      <c r="T13" s="198">
        <f>S13*SocSec</f>
        <v>12976835.004000001</v>
      </c>
      <c r="U13" s="198">
        <f>T13*SocSec</f>
        <v>13781398.774248002</v>
      </c>
      <c r="V13" s="198">
        <f>U13*SocSec</f>
        <v>14635845.498251379</v>
      </c>
      <c r="W13" s="198">
        <f>V13*SocSec</f>
        <v>15543267.919142965</v>
      </c>
      <c r="Y13" s="206"/>
      <c r="Z13" s="206"/>
      <c r="AA13" s="206"/>
      <c r="AB13" s="206"/>
      <c r="AC13" s="206"/>
      <c r="AD13" s="208" t="s">
        <v>274</v>
      </c>
    </row>
    <row r="14" spans="1:30" ht="18" customHeight="1" x14ac:dyDescent="0.2">
      <c r="B14" s="17" t="s">
        <v>13</v>
      </c>
      <c r="C14" s="18" t="s">
        <v>14</v>
      </c>
      <c r="D14" s="6">
        <v>30259466.289999999</v>
      </c>
      <c r="E14" s="6">
        <v>28076042.66</v>
      </c>
      <c r="F14" s="6">
        <v>28402301.190000001</v>
      </c>
      <c r="G14" s="6">
        <v>29276512.699999999</v>
      </c>
      <c r="H14" s="6">
        <v>35231175</v>
      </c>
      <c r="I14" s="6">
        <v>38717895</v>
      </c>
      <c r="J14" s="6">
        <v>33970838</v>
      </c>
      <c r="K14" s="6">
        <v>38950187</v>
      </c>
      <c r="L14" s="13">
        <v>39443308</v>
      </c>
      <c r="M14" s="13">
        <v>37802226</v>
      </c>
      <c r="N14" s="13">
        <v>39593620</v>
      </c>
      <c r="O14" s="139">
        <v>39913640</v>
      </c>
      <c r="P14" s="168">
        <v>43701260</v>
      </c>
      <c r="Q14" s="168">
        <v>45435937.799999997</v>
      </c>
      <c r="R14" s="168">
        <v>48559690</v>
      </c>
      <c r="S14" s="168">
        <v>55042233</v>
      </c>
      <c r="T14" s="198">
        <v>57464091.252000004</v>
      </c>
      <c r="U14" s="198">
        <v>58843229.442048006</v>
      </c>
      <c r="V14" s="198">
        <v>61785390.914150409</v>
      </c>
      <c r="W14" s="198">
        <v>64874660.459857933</v>
      </c>
      <c r="Y14" s="206">
        <v>4.3999999999999997E-2</v>
      </c>
      <c r="Z14" s="206">
        <v>2.4E-2</v>
      </c>
      <c r="AA14" s="206">
        <v>0.05</v>
      </c>
      <c r="AB14" s="206">
        <v>0.05</v>
      </c>
      <c r="AC14" s="206">
        <v>0.05</v>
      </c>
      <c r="AD14" s="1" t="s">
        <v>186</v>
      </c>
    </row>
    <row r="15" spans="1:30" ht="18" customHeight="1" x14ac:dyDescent="0.2">
      <c r="B15" s="1" t="s">
        <v>146</v>
      </c>
      <c r="C15" s="4" t="s">
        <v>15</v>
      </c>
      <c r="D15" s="7">
        <v>190855.47</v>
      </c>
      <c r="E15" s="7">
        <v>196884.81</v>
      </c>
      <c r="F15" s="7">
        <v>126440.61</v>
      </c>
      <c r="G15" s="7">
        <v>136801.09</v>
      </c>
      <c r="H15" s="6">
        <v>141612</v>
      </c>
      <c r="I15" s="7">
        <v>153768</v>
      </c>
      <c r="J15" s="7">
        <v>175674</v>
      </c>
      <c r="K15" s="7">
        <v>182702</v>
      </c>
      <c r="L15" s="13">
        <v>215962</v>
      </c>
      <c r="M15" s="13">
        <v>173652</v>
      </c>
      <c r="N15" s="13">
        <v>109875</v>
      </c>
      <c r="O15" s="139">
        <v>106959</v>
      </c>
      <c r="P15" s="168">
        <v>103969</v>
      </c>
      <c r="Q15" s="168">
        <v>101058.96</v>
      </c>
      <c r="R15" s="168">
        <v>111996</v>
      </c>
      <c r="S15" s="168">
        <v>225000</v>
      </c>
      <c r="T15" s="198">
        <v>231074.99999999997</v>
      </c>
      <c r="U15" s="198">
        <v>231074.99999999997</v>
      </c>
      <c r="V15" s="198">
        <v>231074.99999999997</v>
      </c>
      <c r="W15" s="198">
        <v>231074.99999999997</v>
      </c>
      <c r="Y15" s="206">
        <v>2.7E-2</v>
      </c>
      <c r="Z15" s="206">
        <v>0</v>
      </c>
      <c r="AA15" s="206">
        <v>0</v>
      </c>
      <c r="AB15" s="206">
        <v>0</v>
      </c>
      <c r="AC15" s="206">
        <v>0</v>
      </c>
      <c r="AD15" s="1" t="s">
        <v>186</v>
      </c>
    </row>
    <row r="16" spans="1:30" ht="18" customHeight="1" x14ac:dyDescent="0.2">
      <c r="B16" s="1" t="s">
        <v>147</v>
      </c>
      <c r="C16" s="4" t="s">
        <v>16</v>
      </c>
      <c r="D16" s="5">
        <v>258877.96</v>
      </c>
      <c r="E16" s="5">
        <v>261804</v>
      </c>
      <c r="F16" s="5">
        <v>271230.34000000003</v>
      </c>
      <c r="G16" s="5">
        <v>271723.31</v>
      </c>
      <c r="H16" s="6">
        <v>298656</v>
      </c>
      <c r="I16" s="7">
        <v>328546</v>
      </c>
      <c r="J16" s="7">
        <v>331275</v>
      </c>
      <c r="K16" s="7">
        <v>343560</v>
      </c>
      <c r="L16" s="13">
        <v>371898</v>
      </c>
      <c r="M16" s="13">
        <v>431184</v>
      </c>
      <c r="N16" s="13">
        <v>556390</v>
      </c>
      <c r="O16" s="139">
        <v>526837</v>
      </c>
      <c r="P16" s="168">
        <v>492267</v>
      </c>
      <c r="Q16" s="168">
        <v>476873</v>
      </c>
      <c r="R16" s="168">
        <v>533988</v>
      </c>
      <c r="S16" s="168">
        <v>650000</v>
      </c>
      <c r="T16" s="198">
        <v>656500</v>
      </c>
      <c r="U16" s="198">
        <v>656500</v>
      </c>
      <c r="V16" s="198">
        <v>656500</v>
      </c>
      <c r="W16" s="198">
        <v>656500</v>
      </c>
      <c r="Y16" s="206">
        <v>0.01</v>
      </c>
      <c r="Z16" s="206">
        <v>0</v>
      </c>
      <c r="AA16" s="206">
        <v>0</v>
      </c>
      <c r="AB16" s="206">
        <v>0</v>
      </c>
      <c r="AC16" s="206">
        <v>0</v>
      </c>
      <c r="AD16" s="1" t="s">
        <v>186</v>
      </c>
    </row>
    <row r="17" spans="2:30" ht="18" customHeight="1" x14ac:dyDescent="0.2">
      <c r="B17" s="1" t="s">
        <v>120</v>
      </c>
      <c r="C17" s="4" t="s">
        <v>17</v>
      </c>
      <c r="D17" s="5">
        <v>427715.91</v>
      </c>
      <c r="E17" s="5">
        <v>490763.83</v>
      </c>
      <c r="F17" s="5">
        <v>399516.93</v>
      </c>
      <c r="G17" s="5">
        <v>282194.7</v>
      </c>
      <c r="H17" s="6">
        <v>275522</v>
      </c>
      <c r="I17" s="7">
        <v>375000</v>
      </c>
      <c r="J17" s="7">
        <v>253870</v>
      </c>
      <c r="K17" s="7">
        <v>269982</v>
      </c>
      <c r="L17" s="78">
        <v>282949</v>
      </c>
      <c r="M17" s="13">
        <v>310119.40000000002</v>
      </c>
      <c r="N17" s="13">
        <v>282201</v>
      </c>
      <c r="O17" s="139">
        <v>520565</v>
      </c>
      <c r="P17" s="168">
        <v>194199</v>
      </c>
      <c r="Q17" s="168">
        <v>204863.31</v>
      </c>
      <c r="R17" s="168">
        <v>181284</v>
      </c>
      <c r="S17" s="168">
        <v>400000</v>
      </c>
      <c r="T17" s="13">
        <v>400000</v>
      </c>
      <c r="U17" s="13">
        <v>400000</v>
      </c>
      <c r="V17" s="13">
        <v>400000</v>
      </c>
      <c r="W17" s="13">
        <v>400000</v>
      </c>
      <c r="Y17" s="206">
        <v>0</v>
      </c>
      <c r="Z17" s="206">
        <v>0</v>
      </c>
      <c r="AA17" s="206">
        <v>0</v>
      </c>
      <c r="AB17" s="206">
        <v>0</v>
      </c>
      <c r="AC17" s="206">
        <v>0</v>
      </c>
      <c r="AD17" s="1" t="s">
        <v>186</v>
      </c>
    </row>
    <row r="18" spans="2:30" ht="18" customHeight="1" x14ac:dyDescent="0.2">
      <c r="B18" s="1" t="s">
        <v>121</v>
      </c>
      <c r="C18" s="4" t="s">
        <v>18</v>
      </c>
      <c r="D18" s="5">
        <v>40600</v>
      </c>
      <c r="E18" s="5">
        <v>41400</v>
      </c>
      <c r="F18" s="5">
        <v>42600</v>
      </c>
      <c r="G18" s="5">
        <v>42600</v>
      </c>
      <c r="H18" s="6">
        <v>57350</v>
      </c>
      <c r="I18" s="7">
        <v>60000</v>
      </c>
      <c r="J18" s="7">
        <v>56800</v>
      </c>
      <c r="K18" s="7">
        <v>58500</v>
      </c>
      <c r="L18" s="13">
        <v>0</v>
      </c>
      <c r="M18" s="13">
        <v>58950</v>
      </c>
      <c r="N18" s="164">
        <v>0</v>
      </c>
      <c r="O18" s="139">
        <v>0</v>
      </c>
      <c r="P18" s="139"/>
      <c r="Q18" s="168">
        <v>0</v>
      </c>
      <c r="R18" s="168">
        <v>0</v>
      </c>
      <c r="S18" s="168">
        <v>80000</v>
      </c>
      <c r="T18" s="139">
        <v>80000</v>
      </c>
      <c r="U18" s="139">
        <v>80000</v>
      </c>
      <c r="V18" s="139">
        <v>80000</v>
      </c>
      <c r="W18" s="139">
        <v>80000</v>
      </c>
      <c r="Y18" s="206">
        <v>0</v>
      </c>
      <c r="Z18" s="206">
        <v>0</v>
      </c>
      <c r="AA18" s="206">
        <v>0</v>
      </c>
      <c r="AB18" s="206">
        <v>0</v>
      </c>
      <c r="AC18" s="206">
        <v>0</v>
      </c>
      <c r="AD18" s="1" t="s">
        <v>186</v>
      </c>
    </row>
    <row r="19" spans="2:30" ht="18" customHeight="1" x14ac:dyDescent="0.2">
      <c r="B19" s="1" t="s">
        <v>38</v>
      </c>
      <c r="C19" s="59" t="s">
        <v>81</v>
      </c>
      <c r="D19" s="8">
        <v>0</v>
      </c>
      <c r="E19" s="8">
        <v>0</v>
      </c>
      <c r="F19" s="8">
        <v>0</v>
      </c>
      <c r="G19" s="8">
        <v>0</v>
      </c>
      <c r="H19" s="9">
        <v>0</v>
      </c>
      <c r="I19" s="10"/>
      <c r="J19" s="10">
        <v>0</v>
      </c>
      <c r="K19" s="10">
        <v>0</v>
      </c>
      <c r="L19" s="53">
        <v>3713</v>
      </c>
      <c r="M19" s="53">
        <v>18964</v>
      </c>
      <c r="N19" s="165">
        <v>0</v>
      </c>
      <c r="O19" s="141">
        <v>0</v>
      </c>
      <c r="P19" s="180"/>
      <c r="Q19" s="180">
        <v>0</v>
      </c>
      <c r="R19" s="180">
        <v>0</v>
      </c>
      <c r="S19" s="180">
        <v>40000</v>
      </c>
      <c r="T19" s="53">
        <v>50320</v>
      </c>
      <c r="U19" s="53">
        <v>50320</v>
      </c>
      <c r="V19" s="53">
        <v>50320</v>
      </c>
      <c r="W19" s="53">
        <v>50320</v>
      </c>
      <c r="Y19" s="206">
        <v>0.25800000000000001</v>
      </c>
      <c r="Z19" s="206">
        <v>0</v>
      </c>
      <c r="AA19" s="206">
        <v>0</v>
      </c>
      <c r="AB19" s="206">
        <v>0</v>
      </c>
      <c r="AC19" s="206">
        <v>0</v>
      </c>
      <c r="AD19" s="1" t="s">
        <v>186</v>
      </c>
    </row>
    <row r="20" spans="2:30" ht="18" customHeight="1" x14ac:dyDescent="0.2">
      <c r="B20" s="16" t="s">
        <v>19</v>
      </c>
      <c r="C20" s="1" t="s">
        <v>19</v>
      </c>
      <c r="D20" s="5">
        <f t="shared" ref="D20:R20" si="2">SUM(D7:D19)</f>
        <v>84447923.259999976</v>
      </c>
      <c r="E20" s="5">
        <f t="shared" si="2"/>
        <v>87008417.140000001</v>
      </c>
      <c r="F20" s="5">
        <f t="shared" si="2"/>
        <v>96328789.420000017</v>
      </c>
      <c r="G20" s="5">
        <f t="shared" si="2"/>
        <v>101799798.03000002</v>
      </c>
      <c r="H20" s="5">
        <f t="shared" si="2"/>
        <v>100569917</v>
      </c>
      <c r="I20" s="5">
        <f t="shared" si="2"/>
        <v>110915262</v>
      </c>
      <c r="J20" s="5">
        <f t="shared" si="2"/>
        <v>106391214</v>
      </c>
      <c r="K20" s="5">
        <f t="shared" si="2"/>
        <v>121566725</v>
      </c>
      <c r="L20" s="5">
        <f t="shared" si="2"/>
        <v>133844257</v>
      </c>
      <c r="M20" s="6">
        <f>SUM(M7:M19)</f>
        <v>133769382.44</v>
      </c>
      <c r="N20" s="7">
        <f t="shared" si="2"/>
        <v>145059708.41</v>
      </c>
      <c r="O20" s="140">
        <f t="shared" si="2"/>
        <v>143966895.82999998</v>
      </c>
      <c r="P20" s="5">
        <f t="shared" si="2"/>
        <v>130672735.28</v>
      </c>
      <c r="Q20" s="7">
        <f t="shared" si="2"/>
        <v>133823087.88</v>
      </c>
      <c r="R20" s="7">
        <f t="shared" si="2"/>
        <v>143544854</v>
      </c>
      <c r="S20" s="7">
        <f t="shared" ref="S20:W20" si="3">SUM(S7:S19)</f>
        <v>151425922</v>
      </c>
      <c r="T20" s="7">
        <f t="shared" si="3"/>
        <v>155680849.9215</v>
      </c>
      <c r="U20" s="7">
        <f t="shared" si="3"/>
        <v>157811704.84374976</v>
      </c>
      <c r="V20" s="7">
        <f t="shared" si="3"/>
        <v>162068413.53383762</v>
      </c>
      <c r="W20" s="7">
        <f t="shared" si="3"/>
        <v>166113111.96073738</v>
      </c>
    </row>
    <row r="21" spans="2:30" s="105" customFormat="1" ht="46.5" customHeight="1" x14ac:dyDescent="0.2">
      <c r="B21" s="100" t="s">
        <v>170</v>
      </c>
      <c r="C21" s="101"/>
      <c r="D21" s="102"/>
      <c r="E21" s="102"/>
      <c r="F21" s="102"/>
      <c r="G21" s="102"/>
      <c r="H21" s="103"/>
      <c r="I21" s="104"/>
      <c r="J21" s="104">
        <v>594975</v>
      </c>
      <c r="K21" s="104">
        <v>629620</v>
      </c>
      <c r="L21" s="104">
        <v>657832</v>
      </c>
      <c r="M21" s="104">
        <v>680808</v>
      </c>
      <c r="N21" s="103">
        <v>704589</v>
      </c>
      <c r="O21" s="159">
        <v>712980</v>
      </c>
      <c r="P21" s="159">
        <v>727430</v>
      </c>
      <c r="Q21" s="159">
        <v>732300</v>
      </c>
      <c r="R21" s="159">
        <v>745690</v>
      </c>
      <c r="S21" s="159">
        <v>747900</v>
      </c>
      <c r="T21" s="159">
        <v>761100</v>
      </c>
      <c r="U21" s="159">
        <v>755500</v>
      </c>
      <c r="V21" s="159">
        <v>755000</v>
      </c>
      <c r="W21" s="159">
        <v>750400</v>
      </c>
      <c r="X21" s="91"/>
      <c r="Y21" t="s">
        <v>238</v>
      </c>
      <c r="Z21" s="91"/>
      <c r="AA21" s="91"/>
      <c r="AD21" s="1" t="s">
        <v>240</v>
      </c>
    </row>
    <row r="22" spans="2:30" s="112" customFormat="1" ht="81" customHeight="1" x14ac:dyDescent="0.2">
      <c r="B22" s="106" t="s">
        <v>172</v>
      </c>
      <c r="C22" s="107"/>
      <c r="D22" s="108"/>
      <c r="E22" s="108"/>
      <c r="F22" s="108"/>
      <c r="G22" s="108"/>
      <c r="H22" s="109"/>
      <c r="I22" s="110"/>
      <c r="J22" s="111"/>
      <c r="K22" s="111" t="s">
        <v>70</v>
      </c>
      <c r="L22" s="111" t="s">
        <v>69</v>
      </c>
      <c r="M22" s="111" t="s">
        <v>68</v>
      </c>
      <c r="N22" s="111" t="s">
        <v>86</v>
      </c>
      <c r="O22" s="142" t="s">
        <v>115</v>
      </c>
      <c r="P22" s="111" t="s">
        <v>167</v>
      </c>
      <c r="Q22" s="111" t="str">
        <f>P22</f>
        <v>Per Central Accounting FY22 Pension Calcuation 9.26.22 (One Rate)</v>
      </c>
      <c r="R22" s="111">
        <v>59532840</v>
      </c>
      <c r="S22" s="111">
        <f t="shared" ref="S22" si="4">R22</f>
        <v>59532840</v>
      </c>
      <c r="T22" s="111">
        <v>60583560</v>
      </c>
      <c r="U22" s="111">
        <v>60137800</v>
      </c>
      <c r="V22" s="111">
        <v>60098000</v>
      </c>
      <c r="W22" s="204">
        <v>59731840</v>
      </c>
      <c r="Y22" t="s">
        <v>238</v>
      </c>
      <c r="AD22" s="1" t="s">
        <v>240</v>
      </c>
    </row>
    <row r="23" spans="2:30" s="105" customFormat="1" ht="37.5" customHeight="1" x14ac:dyDescent="0.2">
      <c r="B23" s="106" t="s">
        <v>134</v>
      </c>
      <c r="C23" s="101"/>
      <c r="D23" s="102"/>
      <c r="E23" s="102"/>
      <c r="F23" s="102"/>
      <c r="G23" s="102"/>
      <c r="H23" s="103"/>
      <c r="I23" s="104"/>
      <c r="J23" s="104"/>
      <c r="K23" s="113"/>
      <c r="L23" s="137">
        <f>L12/(L21*1000)</f>
        <v>9.526264000535091E-2</v>
      </c>
      <c r="M23" s="137">
        <f t="shared" ref="M23:O23" si="5">M12/(M21*1000)</f>
        <v>9.5014973795842589E-2</v>
      </c>
      <c r="N23" s="137">
        <v>0.1016</v>
      </c>
      <c r="O23" s="137">
        <f t="shared" si="5"/>
        <v>0.11389045811944234</v>
      </c>
      <c r="P23" s="137">
        <f t="shared" ref="P23" si="6">P12/(P21*1000)</f>
        <v>8.1066461377727064E-2</v>
      </c>
      <c r="Q23" s="137">
        <f>P23</f>
        <v>8.1066461377727064E-2</v>
      </c>
      <c r="R23" s="137">
        <v>7.9799999999999996E-2</v>
      </c>
      <c r="S23" s="137">
        <v>7.9600000000000004E-2</v>
      </c>
      <c r="T23" s="137">
        <v>7.9600000000000004E-2</v>
      </c>
      <c r="U23" s="137">
        <v>7.9600000000000004E-2</v>
      </c>
      <c r="V23" s="137">
        <v>7.9600000000000004E-2</v>
      </c>
      <c r="W23" s="137">
        <v>7.9600000000000004E-2</v>
      </c>
      <c r="Y23" t="s">
        <v>239</v>
      </c>
      <c r="AD23" s="1" t="s">
        <v>240</v>
      </c>
    </row>
    <row r="24" spans="2:30" ht="33.75" customHeight="1" x14ac:dyDescent="0.2">
      <c r="B24" s="14"/>
      <c r="D24" s="5"/>
      <c r="E24" s="5"/>
      <c r="F24" s="5"/>
      <c r="G24" s="5"/>
      <c r="H24" s="6"/>
      <c r="I24" s="7"/>
      <c r="J24" s="7"/>
      <c r="K24" s="7"/>
      <c r="L24" s="73"/>
      <c r="M24" s="7"/>
      <c r="N24" s="7"/>
      <c r="O24" s="6"/>
      <c r="P24" s="178"/>
      <c r="Q24" s="203"/>
      <c r="R24" s="178"/>
      <c r="S24" s="178"/>
      <c r="T24" s="178"/>
      <c r="U24" s="178"/>
      <c r="V24" s="178"/>
      <c r="W24" s="178"/>
    </row>
    <row r="25" spans="2:30" x14ac:dyDescent="0.2">
      <c r="B25" s="16"/>
      <c r="D25" s="5"/>
      <c r="E25" s="5"/>
      <c r="F25" s="15"/>
      <c r="G25" s="15"/>
      <c r="H25" s="15"/>
      <c r="I25" s="5"/>
      <c r="J25" s="15"/>
      <c r="K25" s="15"/>
      <c r="L25" s="15"/>
      <c r="M25" s="15"/>
      <c r="N25" s="146"/>
      <c r="O25" s="163"/>
      <c r="P25" s="188"/>
      <c r="Q25" s="163"/>
      <c r="R25" s="163"/>
      <c r="S25" s="163"/>
      <c r="T25" s="163"/>
      <c r="U25" s="163"/>
      <c r="V25" s="163"/>
      <c r="W25" s="163"/>
    </row>
    <row r="26" spans="2:30" x14ac:dyDescent="0.2">
      <c r="B26" s="16"/>
      <c r="D26" s="5"/>
      <c r="E26" s="5"/>
      <c r="F26" s="15"/>
      <c r="G26" s="15"/>
      <c r="H26" s="15"/>
      <c r="I26" s="5"/>
      <c r="J26" s="15"/>
      <c r="K26" s="15"/>
      <c r="L26" s="15"/>
      <c r="M26" s="15"/>
      <c r="N26" s="160"/>
      <c r="O26" s="161"/>
      <c r="P26" s="162"/>
    </row>
    <row r="27" spans="2:30" x14ac:dyDescent="0.2">
      <c r="B27" s="16"/>
      <c r="D27" s="5"/>
      <c r="E27" s="5"/>
      <c r="F27" s="15"/>
      <c r="G27" s="15"/>
      <c r="H27" s="15"/>
      <c r="I27" s="5"/>
      <c r="J27" s="15"/>
      <c r="K27" s="15"/>
      <c r="L27" s="15"/>
      <c r="M27" s="15"/>
      <c r="N27" s="146"/>
      <c r="O27" s="146"/>
      <c r="P27" s="146"/>
      <c r="Q27" s="146"/>
    </row>
    <row r="28" spans="2:30" x14ac:dyDescent="0.2">
      <c r="B28" s="16"/>
      <c r="D28" s="5"/>
      <c r="E28" s="5"/>
      <c r="F28" s="15"/>
      <c r="G28" s="15"/>
      <c r="H28" s="15"/>
      <c r="I28" s="5"/>
      <c r="J28" s="15"/>
      <c r="K28" s="15"/>
      <c r="L28" s="15"/>
      <c r="M28" s="15"/>
      <c r="N28" s="61"/>
      <c r="P28" s="146"/>
      <c r="Q28" s="146"/>
      <c r="R28" s="146"/>
      <c r="S28" s="146"/>
      <c r="T28" s="146"/>
      <c r="U28" s="146"/>
      <c r="V28" s="146"/>
      <c r="W28" s="146"/>
    </row>
    <row r="29" spans="2:30" x14ac:dyDescent="0.2">
      <c r="B29" s="16"/>
      <c r="D29" s="5"/>
      <c r="E29" s="5"/>
      <c r="F29" s="15"/>
      <c r="G29" s="15"/>
      <c r="H29" s="15"/>
      <c r="I29" s="5"/>
      <c r="J29" s="15"/>
      <c r="K29" s="15"/>
      <c r="L29" s="15"/>
      <c r="M29" s="15"/>
      <c r="N29" s="61"/>
    </row>
    <row r="30" spans="2:30" x14ac:dyDescent="0.2">
      <c r="B30" s="16"/>
      <c r="D30" s="5"/>
      <c r="E30" s="5"/>
      <c r="F30" s="15"/>
      <c r="G30" s="15"/>
      <c r="H30" s="15"/>
      <c r="I30" s="5"/>
      <c r="J30" s="15"/>
      <c r="K30" s="15"/>
      <c r="L30" s="15"/>
      <c r="M30" s="15"/>
      <c r="N30" s="61"/>
      <c r="P30" s="179"/>
    </row>
    <row r="31" spans="2:30" x14ac:dyDescent="0.2">
      <c r="B31" s="16"/>
      <c r="D31" s="5"/>
      <c r="E31" s="5"/>
      <c r="F31" s="15"/>
      <c r="G31" s="15"/>
      <c r="H31" s="15"/>
      <c r="I31" s="5"/>
      <c r="J31" s="15"/>
      <c r="K31" s="15"/>
      <c r="L31" s="15"/>
      <c r="M31" s="15"/>
      <c r="N31" s="61"/>
    </row>
    <row r="32" spans="2:30" x14ac:dyDescent="0.2">
      <c r="B32" s="16"/>
      <c r="D32" s="5"/>
      <c r="E32" s="5"/>
      <c r="F32" s="15"/>
      <c r="G32" s="15"/>
      <c r="H32" s="15"/>
      <c r="I32" s="5"/>
      <c r="J32" s="15"/>
      <c r="K32" s="15"/>
      <c r="O32" s="143"/>
      <c r="P32" s="61"/>
    </row>
    <row r="36" spans="4:16" x14ac:dyDescent="0.2">
      <c r="P36" s="146"/>
    </row>
    <row r="37" spans="4:16" x14ac:dyDescent="0.2">
      <c r="P37" s="179"/>
    </row>
    <row r="41" spans="4:16" x14ac:dyDescent="0.2">
      <c r="D41" s="1" t="s">
        <v>84</v>
      </c>
    </row>
    <row r="65" spans="2:26" x14ac:dyDescent="0.2">
      <c r="B65" s="333" t="s">
        <v>19</v>
      </c>
      <c r="D65" s="5"/>
      <c r="E65" s="5"/>
      <c r="F65" s="15"/>
      <c r="G65" s="15"/>
      <c r="H65" s="15"/>
      <c r="I65" s="5"/>
      <c r="J65" s="15"/>
      <c r="K65" s="15"/>
      <c r="L65" s="15"/>
      <c r="M65" s="15"/>
      <c r="N65" s="15"/>
      <c r="O65" s="15"/>
      <c r="P65" s="15"/>
      <c r="Q65" s="15"/>
      <c r="R65" s="15"/>
      <c r="S65" s="61"/>
      <c r="W65" s="14"/>
    </row>
    <row r="66" spans="2:26" x14ac:dyDescent="0.2">
      <c r="B66" s="1" t="s">
        <v>275</v>
      </c>
      <c r="D66" s="5"/>
      <c r="E66" s="5"/>
      <c r="F66" s="15"/>
      <c r="G66" s="15"/>
      <c r="H66" s="15"/>
      <c r="I66" s="5"/>
      <c r="J66" s="15"/>
      <c r="K66" s="334"/>
      <c r="L66" s="334">
        <f t="shared" ref="L66:V66" si="7">SUM(L7:L10,L13:L19)</f>
        <v>56886859</v>
      </c>
      <c r="M66" s="334">
        <f t="shared" si="7"/>
        <v>54912053.399999999</v>
      </c>
      <c r="N66" s="334">
        <f t="shared" si="7"/>
        <v>57760775</v>
      </c>
      <c r="O66" s="334">
        <f t="shared" si="7"/>
        <v>58250740</v>
      </c>
      <c r="P66" s="334">
        <f t="shared" si="7"/>
        <v>63161240</v>
      </c>
      <c r="Q66" s="334">
        <f t="shared" si="7"/>
        <v>65209455.869999997</v>
      </c>
      <c r="R66" s="334">
        <f t="shared" ref="R66" si="8">SUM(R7:R10,R13:R19)</f>
        <v>70164023</v>
      </c>
      <c r="S66" s="334">
        <f t="shared" si="7"/>
        <v>79474874</v>
      </c>
      <c r="T66" s="334">
        <f t="shared" si="7"/>
        <v>83051628.161500007</v>
      </c>
      <c r="U66" s="334">
        <f t="shared" si="7"/>
        <v>85628243.083749756</v>
      </c>
      <c r="V66" s="334">
        <f t="shared" si="7"/>
        <v>89828386.479757607</v>
      </c>
      <c r="W66" s="334">
        <f t="shared" ref="W66" si="9">SUM(W7:W10,W13:W19)</f>
        <v>94239244.906657383</v>
      </c>
      <c r="X66" s="334"/>
    </row>
    <row r="67" spans="2:26" x14ac:dyDescent="0.2">
      <c r="B67" s="1" t="s">
        <v>9</v>
      </c>
      <c r="D67" s="5"/>
      <c r="E67" s="5"/>
      <c r="F67" s="15"/>
      <c r="G67" s="15"/>
      <c r="H67" s="15"/>
      <c r="I67" s="5"/>
      <c r="J67" s="15"/>
      <c r="K67" s="334"/>
      <c r="L67" s="334">
        <f t="shared" ref="L67:V67" si="10">+L12</f>
        <v>62666813</v>
      </c>
      <c r="M67" s="334">
        <f t="shared" si="10"/>
        <v>64686954.280000001</v>
      </c>
      <c r="N67" s="334">
        <f t="shared" si="10"/>
        <v>71612808.409999996</v>
      </c>
      <c r="O67" s="334">
        <f t="shared" si="10"/>
        <v>81201618.829999998</v>
      </c>
      <c r="P67" s="334">
        <f t="shared" si="10"/>
        <v>58970176</v>
      </c>
      <c r="Q67" s="334">
        <f t="shared" si="10"/>
        <v>57818972.57</v>
      </c>
      <c r="R67" s="334">
        <f t="shared" ref="R67" si="11">+R12</f>
        <v>60819644</v>
      </c>
      <c r="S67" s="334">
        <f t="shared" si="10"/>
        <v>59532840</v>
      </c>
      <c r="T67" s="334">
        <f t="shared" si="10"/>
        <v>60583560</v>
      </c>
      <c r="U67" s="334">
        <f t="shared" si="10"/>
        <v>60137800</v>
      </c>
      <c r="V67" s="334">
        <f t="shared" si="10"/>
        <v>60098000</v>
      </c>
      <c r="W67" s="334">
        <f t="shared" ref="W67" si="12">+W12</f>
        <v>59731840</v>
      </c>
      <c r="X67" s="334"/>
    </row>
    <row r="68" spans="2:26" x14ac:dyDescent="0.2">
      <c r="B68" s="1" t="s">
        <v>276</v>
      </c>
      <c r="D68" s="5"/>
      <c r="E68" s="5"/>
      <c r="F68" s="15"/>
      <c r="G68" s="15"/>
      <c r="H68" s="15"/>
      <c r="I68" s="5"/>
      <c r="J68" s="15"/>
      <c r="K68" s="334"/>
      <c r="L68" s="334">
        <f t="shared" ref="L68:V68" si="13">+L11</f>
        <v>14290585</v>
      </c>
      <c r="M68" s="334">
        <f t="shared" si="13"/>
        <v>14170374.76</v>
      </c>
      <c r="N68" s="334">
        <f t="shared" si="13"/>
        <v>15686125</v>
      </c>
      <c r="O68" s="334">
        <f t="shared" si="13"/>
        <v>4514537</v>
      </c>
      <c r="P68" s="334">
        <f t="shared" si="13"/>
        <v>8541319.2799999993</v>
      </c>
      <c r="Q68" s="334">
        <f t="shared" si="13"/>
        <v>10794659.439999999</v>
      </c>
      <c r="R68" s="334">
        <f t="shared" ref="R68" si="14">+R11</f>
        <v>12561187</v>
      </c>
      <c r="S68" s="334">
        <f t="shared" si="13"/>
        <v>12418208</v>
      </c>
      <c r="T68" s="334">
        <f t="shared" si="13"/>
        <v>12045661.76</v>
      </c>
      <c r="U68" s="334">
        <f t="shared" si="13"/>
        <v>12045661.76</v>
      </c>
      <c r="V68" s="334">
        <f t="shared" si="13"/>
        <v>12142027.05408</v>
      </c>
      <c r="W68" s="334">
        <f t="shared" ref="W68" si="15">+W11</f>
        <v>12142027.05408</v>
      </c>
      <c r="X68" s="334"/>
    </row>
    <row r="69" spans="2:26" x14ac:dyDescent="0.2">
      <c r="B69" s="16"/>
      <c r="D69" s="5"/>
      <c r="E69" s="5"/>
      <c r="F69" s="15"/>
      <c r="G69" s="15"/>
      <c r="H69" s="15"/>
      <c r="I69" s="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2:26" x14ac:dyDescent="0.2">
      <c r="B70" s="1" t="s">
        <v>19</v>
      </c>
      <c r="D70" s="5"/>
      <c r="E70" s="5"/>
      <c r="F70" s="15"/>
      <c r="G70" s="15"/>
      <c r="H70" s="15"/>
      <c r="I70" s="5"/>
      <c r="J70" s="15"/>
      <c r="K70" s="334"/>
      <c r="L70" s="334">
        <f>SUM(L66:L69)</f>
        <v>133844257</v>
      </c>
      <c r="M70" s="334">
        <f t="shared" ref="M70:V70" si="16">SUM(M66:M69)</f>
        <v>133769382.44000001</v>
      </c>
      <c r="N70" s="334">
        <f t="shared" si="16"/>
        <v>145059708.41</v>
      </c>
      <c r="O70" s="334">
        <f>SUM(O66:O69)</f>
        <v>143966895.82999998</v>
      </c>
      <c r="P70" s="334">
        <f t="shared" si="16"/>
        <v>130672735.28</v>
      </c>
      <c r="Q70" s="334">
        <f t="shared" si="16"/>
        <v>133823087.88</v>
      </c>
      <c r="R70" s="334">
        <f t="shared" ref="R70" si="17">SUM(R66:R69)</f>
        <v>143544854</v>
      </c>
      <c r="S70" s="334">
        <f t="shared" si="16"/>
        <v>151425922</v>
      </c>
      <c r="T70" s="334">
        <f t="shared" si="16"/>
        <v>155680849.9215</v>
      </c>
      <c r="U70" s="334">
        <f t="shared" si="16"/>
        <v>157811704.84374976</v>
      </c>
      <c r="V70" s="334">
        <f t="shared" si="16"/>
        <v>162068413.53383762</v>
      </c>
      <c r="W70" s="334">
        <f t="shared" ref="W70" si="18">SUM(W66:W69)</f>
        <v>166113111.96073741</v>
      </c>
      <c r="X70" s="334"/>
    </row>
    <row r="71" spans="2:26" x14ac:dyDescent="0.2">
      <c r="M71" s="334">
        <f>+M70-M20</f>
        <v>0</v>
      </c>
      <c r="N71" s="334">
        <f>+N70-N20</f>
        <v>0</v>
      </c>
      <c r="O71" s="334">
        <f>+O70-O20</f>
        <v>0</v>
      </c>
      <c r="P71" s="334">
        <f>+P70-P20</f>
        <v>0</v>
      </c>
      <c r="Q71" s="334"/>
      <c r="R71" s="334"/>
      <c r="S71" s="334">
        <f>+S70-S20</f>
        <v>0</v>
      </c>
      <c r="T71" s="334">
        <f>+T70-T20</f>
        <v>0</v>
      </c>
      <c r="U71" s="334">
        <f>+U70-U20</f>
        <v>0</v>
      </c>
      <c r="V71" s="334">
        <f>+V70-V20</f>
        <v>0</v>
      </c>
      <c r="Y71" s="14"/>
    </row>
    <row r="72" spans="2:26" x14ac:dyDescent="0.2">
      <c r="K72" s="334"/>
      <c r="L72" s="334">
        <v>121566723</v>
      </c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Y72" s="14"/>
    </row>
    <row r="73" spans="2:26" x14ac:dyDescent="0.2">
      <c r="O73" s="334">
        <v>143966896</v>
      </c>
      <c r="R73" s="334">
        <v>143762106</v>
      </c>
      <c r="Y73" s="14"/>
    </row>
    <row r="74" spans="2:26" x14ac:dyDescent="0.2">
      <c r="O74" s="334">
        <f>+O73-O70</f>
        <v>0.17000001668930054</v>
      </c>
      <c r="P74" s="334"/>
      <c r="R74" s="334">
        <f>+R70-R73</f>
        <v>-217252</v>
      </c>
      <c r="Y74" s="14"/>
    </row>
    <row r="75" spans="2:26" x14ac:dyDescent="0.2">
      <c r="O75" s="1"/>
      <c r="Y75" s="14"/>
    </row>
    <row r="76" spans="2:26" ht="25.5" x14ac:dyDescent="0.2">
      <c r="B76" s="1" t="s">
        <v>277</v>
      </c>
      <c r="O76" s="1"/>
      <c r="Q76" s="335" t="str">
        <f t="shared" ref="Q76:V76" si="19">+Q5</f>
        <v>FINAL</v>
      </c>
      <c r="R76" s="335" t="str">
        <f t="shared" si="19"/>
        <v>PROJECTION FAMIS 11.18.24</v>
      </c>
      <c r="S76" s="335" t="str">
        <f t="shared" si="19"/>
        <v>BUDGET</v>
      </c>
      <c r="T76" s="335" t="str">
        <f t="shared" si="19"/>
        <v>Estimate</v>
      </c>
      <c r="U76" s="335" t="str">
        <f t="shared" si="19"/>
        <v>Estimate</v>
      </c>
      <c r="V76" s="335" t="str">
        <f t="shared" si="19"/>
        <v>Estimate</v>
      </c>
      <c r="W76" s="335" t="str">
        <f t="shared" ref="W76" si="20">+W5</f>
        <v>Estimate</v>
      </c>
      <c r="Y76" s="1" t="s">
        <v>278</v>
      </c>
      <c r="Z76" s="1" t="s">
        <v>279</v>
      </c>
    </row>
    <row r="77" spans="2:26" x14ac:dyDescent="0.2">
      <c r="B77" s="1" t="s">
        <v>275</v>
      </c>
      <c r="O77" s="1"/>
      <c r="Q77" s="336">
        <f t="shared" ref="Q77:W79" si="21">+Q66/P66-1</f>
        <v>3.2428366985828516E-2</v>
      </c>
      <c r="R77" s="336">
        <f t="shared" si="21"/>
        <v>7.5979274230984384E-2</v>
      </c>
      <c r="S77" s="336">
        <f t="shared" si="21"/>
        <v>0.13270121355498676</v>
      </c>
      <c r="T77" s="336">
        <f>+T66/S66-1</f>
        <v>4.5004842178170801E-2</v>
      </c>
      <c r="U77" s="336">
        <f>+U66/T66-1</f>
        <v>3.1024255385328825E-2</v>
      </c>
      <c r="V77" s="336">
        <f>+V66/U66-1</f>
        <v>4.9050911764005889E-2</v>
      </c>
      <c r="W77" s="336">
        <f>+W66/V66-1</f>
        <v>4.9103168828416477E-2</v>
      </c>
      <c r="X77" s="336"/>
      <c r="Y77" s="337">
        <f>AVERAGE(T77:$W77)</f>
        <v>4.3545794538980498E-2</v>
      </c>
      <c r="Z77" s="338">
        <f>AVERAGE(U77:$W77)</f>
        <v>4.3059445325917066E-2</v>
      </c>
    </row>
    <row r="78" spans="2:26" x14ac:dyDescent="0.2">
      <c r="B78" s="1" t="s">
        <v>9</v>
      </c>
      <c r="O78" s="1"/>
      <c r="Q78" s="336">
        <f t="shared" si="21"/>
        <v>-1.9521790642103576E-2</v>
      </c>
      <c r="R78" s="336">
        <f t="shared" si="21"/>
        <v>5.1897695455711546E-2</v>
      </c>
      <c r="S78" s="336">
        <f t="shared" si="21"/>
        <v>-2.1157703586689891E-2</v>
      </c>
      <c r="T78" s="336">
        <f t="shared" si="21"/>
        <v>1.7649418371439962E-2</v>
      </c>
      <c r="U78" s="336">
        <f t="shared" si="21"/>
        <v>-7.3577716463013587E-3</v>
      </c>
      <c r="V78" s="336">
        <f t="shared" si="21"/>
        <v>-6.6181336863002649E-4</v>
      </c>
      <c r="W78" s="336">
        <f t="shared" si="21"/>
        <v>-6.092715231788115E-3</v>
      </c>
      <c r="X78" s="336"/>
      <c r="Y78" s="337">
        <f>AVERAGE(T78:$W78)</f>
        <v>8.8427953118011549E-4</v>
      </c>
      <c r="Z78" s="338">
        <f>AVERAGE(U78:$W78)</f>
        <v>-4.7041000822398331E-3</v>
      </c>
    </row>
    <row r="79" spans="2:26" x14ac:dyDescent="0.2">
      <c r="B79" s="1" t="s">
        <v>276</v>
      </c>
      <c r="O79" s="1"/>
      <c r="Q79" s="336">
        <f t="shared" si="21"/>
        <v>0.26381640659146521</v>
      </c>
      <c r="R79" s="336">
        <f t="shared" si="21"/>
        <v>0.16364829014003623</v>
      </c>
      <c r="S79" s="336">
        <f t="shared" si="21"/>
        <v>-1.138260261550128E-2</v>
      </c>
      <c r="T79" s="336">
        <f t="shared" si="21"/>
        <v>-3.0000000000000027E-2</v>
      </c>
      <c r="U79" s="336">
        <f t="shared" si="21"/>
        <v>0</v>
      </c>
      <c r="V79" s="336">
        <f t="shared" si="21"/>
        <v>8.0000000000000071E-3</v>
      </c>
      <c r="W79" s="336">
        <f t="shared" si="21"/>
        <v>0</v>
      </c>
      <c r="X79" s="336"/>
      <c r="Y79" s="337">
        <f>AVERAGE(T79:$W79)</f>
        <v>-5.5000000000000049E-3</v>
      </c>
      <c r="Z79" s="338">
        <f>AVERAGE(U79:$W79)</f>
        <v>2.6666666666666692E-3</v>
      </c>
    </row>
    <row r="80" spans="2:26" x14ac:dyDescent="0.2">
      <c r="V80" s="14"/>
    </row>
    <row r="81" spans="2:25" x14ac:dyDescent="0.2">
      <c r="B81" s="1" t="s">
        <v>281</v>
      </c>
      <c r="T81" s="338">
        <f>IF(+T78&gt;0,T78,0)</f>
        <v>1.7649418371439962E-2</v>
      </c>
      <c r="U81" s="338">
        <f>IF(+U78&gt;0,U78,0)</f>
        <v>0</v>
      </c>
      <c r="V81" s="338">
        <f>IF(+V78&gt;0,V78,0)</f>
        <v>0</v>
      </c>
      <c r="W81" s="338">
        <f>IF(+W78&gt;0,W78,0)</f>
        <v>0</v>
      </c>
      <c r="X81" s="14"/>
      <c r="Y81" s="337">
        <f>AVERAGE(T81:$W81)</f>
        <v>4.4123545928599905E-3</v>
      </c>
    </row>
    <row r="82" spans="2:25" x14ac:dyDescent="0.2">
      <c r="B82" s="1" t="s">
        <v>282</v>
      </c>
      <c r="X82" s="14"/>
    </row>
    <row r="83" spans="2:25" x14ac:dyDescent="0.2">
      <c r="X83" s="14"/>
    </row>
    <row r="84" spans="2:25" x14ac:dyDescent="0.2">
      <c r="X84" s="14"/>
    </row>
  </sheetData>
  <pageMargins left="0.7" right="0.7" top="0.75" bottom="0.75" header="0.3" footer="0.3"/>
  <pageSetup paperSize="17" orientation="landscape" verticalDpi="1200" r:id="rId1"/>
  <headerFooter>
    <oddFooter>&amp;L&amp;9&amp;D  &amp;T&amp;C&amp;9&amp;F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K22"/>
  <sheetViews>
    <sheetView zoomScaleNormal="100" workbookViewId="0">
      <selection activeCell="K23" sqref="K23"/>
    </sheetView>
  </sheetViews>
  <sheetFormatPr defaultColWidth="9" defaultRowHeight="12.75" x14ac:dyDescent="0.2"/>
  <cols>
    <col min="1" max="2" width="9" style="1"/>
    <col min="3" max="3" width="13" style="1" customWidth="1"/>
    <col min="4" max="6" width="19.875" style="14" customWidth="1"/>
    <col min="7" max="7" width="18" style="14" customWidth="1"/>
    <col min="8" max="9" width="19.875" style="14" customWidth="1"/>
    <col min="10" max="10" width="20" style="1" customWidth="1"/>
    <col min="11" max="11" width="19.75" style="1" customWidth="1"/>
    <col min="12" max="12" width="15.625" style="1" customWidth="1"/>
    <col min="13" max="13" width="10.75" style="1" bestFit="1" customWidth="1"/>
    <col min="14" max="16384" width="9" style="1"/>
  </cols>
  <sheetData>
    <row r="1" spans="3:11" x14ac:dyDescent="0.2">
      <c r="C1" s="14" t="s">
        <v>74</v>
      </c>
      <c r="D1" s="14" t="s">
        <v>132</v>
      </c>
    </row>
    <row r="2" spans="3:11" x14ac:dyDescent="0.2">
      <c r="C2" s="14" t="s">
        <v>75</v>
      </c>
      <c r="D2" s="14" t="s">
        <v>76</v>
      </c>
    </row>
    <row r="3" spans="3:11" x14ac:dyDescent="0.2">
      <c r="C3" s="1" t="s">
        <v>133</v>
      </c>
    </row>
    <row r="6" spans="3:11" x14ac:dyDescent="0.2">
      <c r="C6" s="85" t="s">
        <v>73</v>
      </c>
      <c r="D6" s="85" t="s">
        <v>77</v>
      </c>
    </row>
    <row r="7" spans="3:11" x14ac:dyDescent="0.2">
      <c r="C7" s="157" t="s">
        <v>131</v>
      </c>
      <c r="D7" s="158" t="s">
        <v>39</v>
      </c>
      <c r="E7" s="158" t="s">
        <v>44</v>
      </c>
      <c r="F7" s="158" t="s">
        <v>45</v>
      </c>
      <c r="G7" s="158" t="s">
        <v>116</v>
      </c>
      <c r="H7" s="86" t="s">
        <v>148</v>
      </c>
      <c r="I7" s="86" t="s">
        <v>160</v>
      </c>
      <c r="J7" s="86" t="s">
        <v>173</v>
      </c>
      <c r="K7" s="86" t="s">
        <v>174</v>
      </c>
    </row>
    <row r="8" spans="3:11" x14ac:dyDescent="0.2">
      <c r="C8" s="2">
        <v>353053</v>
      </c>
      <c r="D8" s="145">
        <v>3110370</v>
      </c>
      <c r="E8" s="145">
        <v>2927688</v>
      </c>
      <c r="F8" s="145">
        <v>2885898</v>
      </c>
      <c r="G8" s="146">
        <v>2605308</v>
      </c>
      <c r="H8" s="86">
        <v>2585010</v>
      </c>
      <c r="I8" s="86">
        <v>2976354</v>
      </c>
      <c r="J8" s="86">
        <v>3415500</v>
      </c>
      <c r="K8" s="86">
        <v>3550500</v>
      </c>
    </row>
    <row r="9" spans="3:11" x14ac:dyDescent="0.2">
      <c r="C9" s="2">
        <v>351602</v>
      </c>
      <c r="D9" s="145">
        <v>193540</v>
      </c>
      <c r="E9" s="145">
        <v>180704</v>
      </c>
      <c r="F9" s="145">
        <v>155513</v>
      </c>
      <c r="G9" s="146">
        <v>165053</v>
      </c>
      <c r="H9" s="86">
        <v>945139</v>
      </c>
      <c r="I9" s="86">
        <v>1140809</v>
      </c>
      <c r="J9" s="86">
        <v>1226555</v>
      </c>
      <c r="K9" s="86">
        <v>1141654</v>
      </c>
    </row>
    <row r="10" spans="3:11" x14ac:dyDescent="0.2">
      <c r="C10" s="2">
        <v>353095</v>
      </c>
      <c r="D10" s="145">
        <v>292612</v>
      </c>
      <c r="E10" s="145">
        <v>230553</v>
      </c>
      <c r="F10" s="145">
        <v>207217</v>
      </c>
      <c r="G10" s="146">
        <v>284865</v>
      </c>
      <c r="H10" s="86">
        <v>270650</v>
      </c>
      <c r="I10" s="86">
        <v>372284</v>
      </c>
      <c r="J10" s="86">
        <v>393942</v>
      </c>
      <c r="K10" s="86">
        <v>382279</v>
      </c>
    </row>
    <row r="11" spans="3:11" ht="3" customHeight="1" x14ac:dyDescent="0.2">
      <c r="C11" s="87"/>
      <c r="D11" s="86"/>
      <c r="E11" s="86"/>
      <c r="J11" s="14"/>
      <c r="K11" s="14"/>
    </row>
    <row r="12" spans="3:11" x14ac:dyDescent="0.2">
      <c r="C12" s="12" t="s">
        <v>19</v>
      </c>
      <c r="D12" s="147">
        <f>SUM(D8:D10)</f>
        <v>3596522</v>
      </c>
      <c r="E12" s="147">
        <f t="shared" ref="E12:H12" si="0">SUM(E8:E10)</f>
        <v>3338945</v>
      </c>
      <c r="F12" s="147">
        <f t="shared" si="0"/>
        <v>3248628</v>
      </c>
      <c r="G12" s="147">
        <f t="shared" si="0"/>
        <v>3055226</v>
      </c>
      <c r="H12" s="147">
        <f t="shared" si="0"/>
        <v>3800799</v>
      </c>
      <c r="I12" s="147">
        <f t="shared" ref="I12:K12" si="1">SUM(I8:I10)</f>
        <v>4489447</v>
      </c>
      <c r="J12" s="147">
        <f t="shared" si="1"/>
        <v>5035997</v>
      </c>
      <c r="K12" s="147">
        <f t="shared" si="1"/>
        <v>5074433</v>
      </c>
    </row>
    <row r="13" spans="3:11" x14ac:dyDescent="0.2">
      <c r="C13" s="151" t="s">
        <v>119</v>
      </c>
      <c r="D13" s="152"/>
      <c r="E13" s="152"/>
      <c r="F13" s="152"/>
      <c r="G13" s="152"/>
      <c r="H13" s="152"/>
      <c r="I13" s="152"/>
    </row>
    <row r="14" spans="3:11" ht="33.75" x14ac:dyDescent="0.2">
      <c r="C14" s="154" t="s">
        <v>127</v>
      </c>
      <c r="D14" s="155"/>
      <c r="E14" s="155"/>
      <c r="F14" s="155"/>
      <c r="G14" s="156" t="s">
        <v>126</v>
      </c>
      <c r="H14" s="156" t="s">
        <v>126</v>
      </c>
      <c r="I14" s="156" t="s">
        <v>126</v>
      </c>
      <c r="J14" s="156" t="s">
        <v>126</v>
      </c>
      <c r="K14" s="156" t="s">
        <v>126</v>
      </c>
    </row>
    <row r="15" spans="3:11" x14ac:dyDescent="0.2">
      <c r="C15" s="153"/>
      <c r="D15" s="152"/>
      <c r="E15" s="152"/>
      <c r="F15" s="152"/>
      <c r="G15" s="152" t="s">
        <v>125</v>
      </c>
      <c r="H15" s="152" t="s">
        <v>152</v>
      </c>
      <c r="I15" s="152" t="s">
        <v>163</v>
      </c>
    </row>
    <row r="16" spans="3:11" x14ac:dyDescent="0.2">
      <c r="C16" s="153"/>
      <c r="D16" s="152"/>
      <c r="E16" s="152"/>
      <c r="F16" s="152"/>
      <c r="G16" s="152" t="s">
        <v>128</v>
      </c>
      <c r="H16" s="152" t="s">
        <v>151</v>
      </c>
      <c r="I16" s="152" t="s">
        <v>164</v>
      </c>
    </row>
    <row r="17" spans="3:9" x14ac:dyDescent="0.2">
      <c r="C17" s="153"/>
      <c r="D17" s="152"/>
      <c r="E17" s="152"/>
      <c r="F17" s="152"/>
      <c r="G17" s="152" t="s">
        <v>129</v>
      </c>
      <c r="H17" s="152" t="s">
        <v>149</v>
      </c>
      <c r="I17" s="152" t="s">
        <v>165</v>
      </c>
    </row>
    <row r="18" spans="3:9" x14ac:dyDescent="0.2">
      <c r="G18" s="152" t="s">
        <v>130</v>
      </c>
      <c r="H18" s="152" t="s">
        <v>150</v>
      </c>
      <c r="I18" s="152" t="s">
        <v>162</v>
      </c>
    </row>
    <row r="19" spans="3:9" x14ac:dyDescent="0.2">
      <c r="G19" s="152"/>
    </row>
    <row r="20" spans="3:9" x14ac:dyDescent="0.2">
      <c r="G20" s="152"/>
    </row>
    <row r="21" spans="3:9" x14ac:dyDescent="0.2">
      <c r="G21" s="152"/>
    </row>
    <row r="22" spans="3:9" x14ac:dyDescent="0.2">
      <c r="G22" s="152"/>
    </row>
  </sheetData>
  <pageMargins left="0.7" right="0.7" top="0.75" bottom="0.75" header="0.3" footer="0.3"/>
  <pageSetup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1F54-AFBD-417A-9097-60A42E84BF18}">
  <sheetPr>
    <tabColor rgb="FF00B050"/>
  </sheetPr>
  <dimension ref="A3:L45"/>
  <sheetViews>
    <sheetView zoomScaleNormal="100" workbookViewId="0">
      <selection activeCell="G15" sqref="G15"/>
    </sheetView>
  </sheetViews>
  <sheetFormatPr defaultColWidth="7.75" defaultRowHeight="12.75" x14ac:dyDescent="0.2"/>
  <cols>
    <col min="1" max="1" width="12.375" style="260" customWidth="1"/>
    <col min="2" max="2" width="3.5" style="260" bestFit="1" customWidth="1"/>
    <col min="3" max="3" width="13.125" style="260" customWidth="1"/>
    <col min="4" max="5" width="10.875" style="260" customWidth="1"/>
    <col min="6" max="11" width="11.875" style="260" customWidth="1"/>
    <col min="12" max="12" width="13" style="260" customWidth="1"/>
    <col min="13" max="16384" width="7.75" style="260"/>
  </cols>
  <sheetData>
    <row r="3" spans="1:11" x14ac:dyDescent="0.2">
      <c r="A3" s="323" t="s">
        <v>272</v>
      </c>
      <c r="B3" s="323"/>
      <c r="C3" s="323"/>
      <c r="D3" s="323"/>
      <c r="E3" s="323"/>
      <c r="F3" s="324"/>
      <c r="G3" s="324"/>
      <c r="H3" s="324"/>
      <c r="I3" s="324"/>
    </row>
    <row r="4" spans="1:11" x14ac:dyDescent="0.2">
      <c r="A4" s="323" t="s">
        <v>271</v>
      </c>
      <c r="B4" s="323"/>
      <c r="C4" s="323"/>
      <c r="D4" s="323"/>
      <c r="E4" s="323"/>
      <c r="F4" s="324"/>
      <c r="G4" s="324"/>
      <c r="H4" s="324"/>
      <c r="I4" s="324"/>
    </row>
    <row r="5" spans="1:11" x14ac:dyDescent="0.2">
      <c r="A5" s="323" t="s">
        <v>198</v>
      </c>
      <c r="B5" s="324"/>
      <c r="C5" s="324"/>
      <c r="D5" s="324"/>
      <c r="E5" s="324"/>
      <c r="F5" s="324"/>
      <c r="G5" s="324"/>
      <c r="H5" s="324"/>
      <c r="I5" s="324"/>
    </row>
    <row r="6" spans="1:11" x14ac:dyDescent="0.2">
      <c r="A6" s="323"/>
      <c r="B6" s="324"/>
      <c r="C6" s="324"/>
      <c r="D6" s="324"/>
      <c r="E6" s="324"/>
      <c r="F6" s="324"/>
      <c r="G6" s="324"/>
      <c r="H6" s="324"/>
      <c r="I6" s="324"/>
    </row>
    <row r="7" spans="1:11" ht="15" x14ac:dyDescent="0.25">
      <c r="A7" s="330"/>
      <c r="B7" s="329" t="s">
        <v>270</v>
      </c>
      <c r="C7" s="332" t="s">
        <v>269</v>
      </c>
      <c r="D7" s="331"/>
    </row>
    <row r="8" spans="1:11" ht="15" x14ac:dyDescent="0.25">
      <c r="A8" s="330"/>
      <c r="B8" s="329" t="s">
        <v>268</v>
      </c>
      <c r="C8" s="328" t="s">
        <v>267</v>
      </c>
      <c r="D8" s="327"/>
      <c r="E8" s="324"/>
      <c r="F8" s="324"/>
      <c r="G8" s="324"/>
      <c r="H8" s="324"/>
      <c r="I8" s="324"/>
      <c r="J8" s="324"/>
      <c r="K8" s="324"/>
    </row>
    <row r="9" spans="1:11" x14ac:dyDescent="0.2">
      <c r="A9" s="326"/>
      <c r="B9" s="324"/>
      <c r="C9" s="324"/>
      <c r="D9" s="324"/>
      <c r="E9" s="324"/>
      <c r="F9" s="324"/>
      <c r="G9" s="324"/>
      <c r="H9" s="324"/>
      <c r="I9" s="324"/>
    </row>
    <row r="10" spans="1:11" x14ac:dyDescent="0.2">
      <c r="A10" s="326"/>
      <c r="B10" s="324"/>
      <c r="C10" s="325"/>
      <c r="D10" s="324"/>
      <c r="E10" s="319" t="s">
        <v>266</v>
      </c>
      <c r="I10" s="324"/>
    </row>
    <row r="11" spans="1:11" x14ac:dyDescent="0.2">
      <c r="A11" s="323"/>
      <c r="C11" s="284"/>
      <c r="E11" s="319" t="s">
        <v>9</v>
      </c>
    </row>
    <row r="12" spans="1:11" x14ac:dyDescent="0.2">
      <c r="C12" s="321" t="s">
        <v>265</v>
      </c>
      <c r="D12" s="322" t="s">
        <v>264</v>
      </c>
      <c r="E12" s="319" t="s">
        <v>263</v>
      </c>
      <c r="F12" s="322"/>
      <c r="G12" s="321"/>
    </row>
    <row r="13" spans="1:11" x14ac:dyDescent="0.2">
      <c r="A13" s="317" t="s">
        <v>207</v>
      </c>
      <c r="B13" s="317" t="s">
        <v>262</v>
      </c>
      <c r="C13" s="320"/>
      <c r="D13" s="317" t="s">
        <v>2</v>
      </c>
      <c r="E13" s="319" t="s">
        <v>261</v>
      </c>
      <c r="F13" s="317" t="s">
        <v>260</v>
      </c>
      <c r="G13" s="318" t="s">
        <v>181</v>
      </c>
      <c r="H13" s="317" t="s">
        <v>182</v>
      </c>
      <c r="I13" s="317" t="s">
        <v>183</v>
      </c>
      <c r="J13" s="317" t="s">
        <v>184</v>
      </c>
      <c r="K13" s="317" t="s">
        <v>185</v>
      </c>
    </row>
    <row r="14" spans="1:11" ht="14.25" x14ac:dyDescent="0.2">
      <c r="A14" s="260" t="s">
        <v>210</v>
      </c>
      <c r="B14" s="280" t="s">
        <v>211</v>
      </c>
      <c r="C14" s="295">
        <f>814017243.45-92143124</f>
        <v>721874119.45000005</v>
      </c>
      <c r="D14" s="294">
        <f>ROUND($C14/C$29,4)</f>
        <v>0.99239999999999995</v>
      </c>
      <c r="E14" s="316">
        <v>0.83</v>
      </c>
      <c r="F14" s="263">
        <f t="shared" ref="F14:K14" si="0">ROUND($E14*F$29,0)-F22</f>
        <v>601622700</v>
      </c>
      <c r="G14" s="292">
        <f t="shared" si="0"/>
        <v>603457000</v>
      </c>
      <c r="H14" s="315">
        <f t="shared" si="0"/>
        <v>614413000</v>
      </c>
      <c r="I14" s="315">
        <f t="shared" si="0"/>
        <v>609765000</v>
      </c>
      <c r="J14" s="315">
        <f t="shared" si="0"/>
        <v>609350000</v>
      </c>
      <c r="K14" s="315">
        <f t="shared" si="0"/>
        <v>605532000</v>
      </c>
    </row>
    <row r="15" spans="1:11" ht="14.25" x14ac:dyDescent="0.2">
      <c r="A15" s="302" t="s">
        <v>212</v>
      </c>
      <c r="B15" s="301" t="s">
        <v>213</v>
      </c>
      <c r="C15" s="300">
        <v>57818972.57</v>
      </c>
      <c r="D15" s="299">
        <f>ROUND($C15/C$29,4)</f>
        <v>7.9500000000000001E-2</v>
      </c>
      <c r="E15" s="314">
        <v>7.9600000000000004E-2</v>
      </c>
      <c r="F15" s="296">
        <f t="shared" ref="F15:K21" si="1">ROUND($E15*F$29,0)</f>
        <v>59356924</v>
      </c>
      <c r="G15" s="297">
        <f t="shared" si="1"/>
        <v>59532840</v>
      </c>
      <c r="H15" s="296">
        <f t="shared" si="1"/>
        <v>60583560</v>
      </c>
      <c r="I15" s="296">
        <f t="shared" si="1"/>
        <v>60137800</v>
      </c>
      <c r="J15" s="296">
        <f t="shared" si="1"/>
        <v>60098000</v>
      </c>
      <c r="K15" s="296">
        <f t="shared" si="1"/>
        <v>59731840</v>
      </c>
    </row>
    <row r="16" spans="1:11" ht="14.25" x14ac:dyDescent="0.2">
      <c r="A16" s="260" t="s">
        <v>259</v>
      </c>
      <c r="B16" s="283" t="s">
        <v>258</v>
      </c>
      <c r="C16" s="304">
        <v>500000</v>
      </c>
      <c r="D16" s="294">
        <f>ROUND($C16/C$29,4)</f>
        <v>6.9999999999999999E-4</v>
      </c>
      <c r="E16" s="303">
        <v>5.9999999999999995E-4</v>
      </c>
      <c r="F16" s="263">
        <f t="shared" si="1"/>
        <v>447414</v>
      </c>
      <c r="G16" s="292">
        <f t="shared" si="1"/>
        <v>448740</v>
      </c>
      <c r="H16" s="263">
        <f t="shared" si="1"/>
        <v>456660</v>
      </c>
      <c r="I16" s="263">
        <f t="shared" si="1"/>
        <v>453300</v>
      </c>
      <c r="J16" s="263">
        <f t="shared" si="1"/>
        <v>453000</v>
      </c>
      <c r="K16" s="263">
        <f t="shared" si="1"/>
        <v>450240</v>
      </c>
    </row>
    <row r="17" spans="1:11" x14ac:dyDescent="0.2">
      <c r="A17" s="260" t="s">
        <v>214</v>
      </c>
      <c r="B17" s="283" t="s">
        <v>215</v>
      </c>
      <c r="C17" s="304">
        <v>40183458.719999999</v>
      </c>
      <c r="D17" s="294">
        <f>ROUND($C17/C$29,4)+0.0001</f>
        <v>5.5300000000000002E-2</v>
      </c>
      <c r="E17" s="313">
        <v>5.1499999999999997E-2</v>
      </c>
      <c r="F17" s="263">
        <f t="shared" si="1"/>
        <v>38403035</v>
      </c>
      <c r="G17" s="292">
        <f t="shared" si="1"/>
        <v>38516850</v>
      </c>
      <c r="H17" s="263">
        <f t="shared" si="1"/>
        <v>39196650</v>
      </c>
      <c r="I17" s="263">
        <f t="shared" si="1"/>
        <v>38908250</v>
      </c>
      <c r="J17" s="263">
        <f t="shared" si="1"/>
        <v>38882500</v>
      </c>
      <c r="K17" s="263">
        <f t="shared" si="1"/>
        <v>38645600</v>
      </c>
    </row>
    <row r="18" spans="1:11" ht="14.25" x14ac:dyDescent="0.2">
      <c r="A18" s="260" t="s">
        <v>216</v>
      </c>
      <c r="B18" s="283" t="s">
        <v>217</v>
      </c>
      <c r="C18" s="304">
        <v>22152759.73</v>
      </c>
      <c r="D18" s="294">
        <f>ROUND($C18/C$29,4)</f>
        <v>3.0499999999999999E-2</v>
      </c>
      <c r="E18" s="303">
        <v>3.0499999999999999E-2</v>
      </c>
      <c r="F18" s="263">
        <f t="shared" si="1"/>
        <v>22743545</v>
      </c>
      <c r="G18" s="292">
        <f t="shared" si="1"/>
        <v>22810950</v>
      </c>
      <c r="H18" s="263">
        <f t="shared" si="1"/>
        <v>23213550</v>
      </c>
      <c r="I18" s="263">
        <f t="shared" si="1"/>
        <v>23042750</v>
      </c>
      <c r="J18" s="263">
        <f t="shared" si="1"/>
        <v>23027500</v>
      </c>
      <c r="K18" s="263">
        <f t="shared" si="1"/>
        <v>22887200</v>
      </c>
    </row>
    <row r="19" spans="1:11" ht="14.25" x14ac:dyDescent="0.2">
      <c r="A19" s="260" t="s">
        <v>257</v>
      </c>
      <c r="B19" s="283" t="s">
        <v>219</v>
      </c>
      <c r="C19" s="312">
        <v>2032001.97</v>
      </c>
      <c r="D19" s="294">
        <f>ROUND($C19/C$29,4)</f>
        <v>2.8E-3</v>
      </c>
      <c r="E19" s="303">
        <v>2.8E-3</v>
      </c>
      <c r="F19" s="263">
        <f t="shared" si="1"/>
        <v>2087932</v>
      </c>
      <c r="G19" s="292">
        <f t="shared" si="1"/>
        <v>2094120</v>
      </c>
      <c r="H19" s="263">
        <f t="shared" si="1"/>
        <v>2131080</v>
      </c>
      <c r="I19" s="263">
        <f t="shared" si="1"/>
        <v>2115400</v>
      </c>
      <c r="J19" s="263">
        <f t="shared" si="1"/>
        <v>2114000</v>
      </c>
      <c r="K19" s="263">
        <f t="shared" si="1"/>
        <v>2101120</v>
      </c>
    </row>
    <row r="20" spans="1:11" ht="14.25" x14ac:dyDescent="0.2">
      <c r="A20" s="260" t="s">
        <v>256</v>
      </c>
      <c r="B20" s="283">
        <v>120</v>
      </c>
      <c r="C20" s="304">
        <v>314638.89</v>
      </c>
      <c r="D20" s="294">
        <f>ROUND($C20/C$29,4)</f>
        <v>4.0000000000000002E-4</v>
      </c>
      <c r="E20" s="303">
        <v>4.0000000000000002E-4</v>
      </c>
      <c r="F20" s="263">
        <f t="shared" si="1"/>
        <v>298276</v>
      </c>
      <c r="G20" s="292">
        <f t="shared" si="1"/>
        <v>299160</v>
      </c>
      <c r="H20" s="263">
        <f t="shared" si="1"/>
        <v>304440</v>
      </c>
      <c r="I20" s="263">
        <f t="shared" si="1"/>
        <v>302200</v>
      </c>
      <c r="J20" s="263">
        <f t="shared" si="1"/>
        <v>302000</v>
      </c>
      <c r="K20" s="263">
        <f t="shared" si="1"/>
        <v>300160</v>
      </c>
    </row>
    <row r="21" spans="1:11" ht="14.25" x14ac:dyDescent="0.2">
      <c r="A21" s="260" t="s">
        <v>220</v>
      </c>
      <c r="B21" s="283" t="s">
        <v>221</v>
      </c>
      <c r="C21" s="304">
        <v>0</v>
      </c>
      <c r="D21" s="294">
        <f>ROUND($C21/C$29,4)</f>
        <v>0</v>
      </c>
      <c r="E21" s="303">
        <v>2.7000000000000001E-3</v>
      </c>
      <c r="F21" s="263">
        <f t="shared" si="1"/>
        <v>2013363</v>
      </c>
      <c r="G21" s="292">
        <f t="shared" si="1"/>
        <v>2019330</v>
      </c>
      <c r="H21" s="263">
        <f t="shared" si="1"/>
        <v>2054970</v>
      </c>
      <c r="I21" s="263">
        <f t="shared" si="1"/>
        <v>2039850</v>
      </c>
      <c r="J21" s="263">
        <f t="shared" si="1"/>
        <v>2038500</v>
      </c>
      <c r="K21" s="263">
        <f t="shared" si="1"/>
        <v>2026080</v>
      </c>
    </row>
    <row r="22" spans="1:11" ht="14.25" x14ac:dyDescent="0.2">
      <c r="A22" s="311" t="s">
        <v>222</v>
      </c>
      <c r="B22" s="310">
        <v>170</v>
      </c>
      <c r="C22" s="309"/>
      <c r="D22" s="308"/>
      <c r="E22" s="307"/>
      <c r="F22" s="305">
        <v>17300000</v>
      </c>
      <c r="G22" s="306">
        <f>F22</f>
        <v>17300000</v>
      </c>
      <c r="H22" s="305">
        <f>G22</f>
        <v>17300000</v>
      </c>
      <c r="I22" s="305">
        <f>H22</f>
        <v>17300000</v>
      </c>
      <c r="J22" s="305">
        <f>I22</f>
        <v>17300000</v>
      </c>
      <c r="K22" s="305">
        <f>J22</f>
        <v>17300000</v>
      </c>
    </row>
    <row r="23" spans="1:11" ht="14.25" x14ac:dyDescent="0.2">
      <c r="A23" s="260" t="s">
        <v>224</v>
      </c>
      <c r="B23" s="283" t="s">
        <v>225</v>
      </c>
      <c r="C23" s="304">
        <v>0</v>
      </c>
      <c r="D23" s="294">
        <f>ROUND($C23/C$29,4)</f>
        <v>0</v>
      </c>
      <c r="E23" s="303">
        <v>0</v>
      </c>
      <c r="F23" s="263">
        <f t="shared" ref="F23:K25" si="2">ROUND($E23*F$29,0)</f>
        <v>0</v>
      </c>
      <c r="G23" s="292">
        <f t="shared" si="2"/>
        <v>0</v>
      </c>
      <c r="H23" s="263">
        <f t="shared" si="2"/>
        <v>0</v>
      </c>
      <c r="I23" s="263">
        <f t="shared" si="2"/>
        <v>0</v>
      </c>
      <c r="J23" s="263">
        <f t="shared" si="2"/>
        <v>0</v>
      </c>
      <c r="K23" s="263">
        <f t="shared" si="2"/>
        <v>0</v>
      </c>
    </row>
    <row r="24" spans="1:11" x14ac:dyDescent="0.2">
      <c r="A24" s="302" t="s">
        <v>226</v>
      </c>
      <c r="B24" s="301" t="s">
        <v>227</v>
      </c>
      <c r="C24" s="300">
        <v>0</v>
      </c>
      <c r="D24" s="299">
        <f>ROUND($C24/C$29,4)</f>
        <v>0</v>
      </c>
      <c r="E24" s="298">
        <v>0</v>
      </c>
      <c r="F24" s="296">
        <f t="shared" si="2"/>
        <v>0</v>
      </c>
      <c r="G24" s="297">
        <f t="shared" si="2"/>
        <v>0</v>
      </c>
      <c r="H24" s="296">
        <f t="shared" si="2"/>
        <v>0</v>
      </c>
      <c r="I24" s="296">
        <f t="shared" si="2"/>
        <v>0</v>
      </c>
      <c r="J24" s="296">
        <f t="shared" si="2"/>
        <v>0</v>
      </c>
      <c r="K24" s="296">
        <f t="shared" si="2"/>
        <v>0</v>
      </c>
    </row>
    <row r="25" spans="1:11" ht="14.25" x14ac:dyDescent="0.2">
      <c r="A25" s="260" t="s">
        <v>9</v>
      </c>
      <c r="B25" s="283" t="s">
        <v>229</v>
      </c>
      <c r="C25" s="295">
        <v>1366133.64</v>
      </c>
      <c r="D25" s="294">
        <f>ROUND($C25/C$29,4)</f>
        <v>1.9E-3</v>
      </c>
      <c r="E25" s="293">
        <v>1.9E-3</v>
      </c>
      <c r="F25" s="263">
        <f t="shared" si="2"/>
        <v>1416811</v>
      </c>
      <c r="G25" s="292">
        <f t="shared" si="2"/>
        <v>1421010</v>
      </c>
      <c r="H25" s="263">
        <f t="shared" si="2"/>
        <v>1446090</v>
      </c>
      <c r="I25" s="263">
        <f t="shared" si="2"/>
        <v>1435450</v>
      </c>
      <c r="J25" s="263">
        <f t="shared" si="2"/>
        <v>1434500</v>
      </c>
      <c r="K25" s="263">
        <f t="shared" si="2"/>
        <v>1425760</v>
      </c>
    </row>
    <row r="26" spans="1:11" ht="14.25" x14ac:dyDescent="0.2">
      <c r="A26" s="280" t="s">
        <v>19</v>
      </c>
      <c r="B26" s="280"/>
      <c r="C26" s="291">
        <f t="shared" ref="C26:K26" si="3">SUM(C14:C25)</f>
        <v>846242084.97000015</v>
      </c>
      <c r="D26" s="290">
        <f t="shared" si="3"/>
        <v>1.1634999999999995</v>
      </c>
      <c r="E26" s="289">
        <f t="shared" si="3"/>
        <v>1</v>
      </c>
      <c r="F26" s="287">
        <f t="shared" si="3"/>
        <v>745690000</v>
      </c>
      <c r="G26" s="288">
        <f t="shared" si="3"/>
        <v>747900000</v>
      </c>
      <c r="H26" s="287">
        <f t="shared" si="3"/>
        <v>761100000</v>
      </c>
      <c r="I26" s="287">
        <f t="shared" si="3"/>
        <v>755500000</v>
      </c>
      <c r="J26" s="287">
        <f t="shared" si="3"/>
        <v>755000000</v>
      </c>
      <c r="K26" s="287">
        <f t="shared" si="3"/>
        <v>750400000</v>
      </c>
    </row>
    <row r="27" spans="1:11" x14ac:dyDescent="0.2">
      <c r="C27" s="284"/>
      <c r="G27" s="284"/>
    </row>
    <row r="28" spans="1:11" x14ac:dyDescent="0.2">
      <c r="C28" s="264"/>
      <c r="G28" s="284"/>
    </row>
    <row r="29" spans="1:11" x14ac:dyDescent="0.2">
      <c r="C29" s="266">
        <v>727430000</v>
      </c>
      <c r="D29" s="266"/>
      <c r="E29" s="266" t="s">
        <v>255</v>
      </c>
      <c r="F29" s="266">
        <v>745690000</v>
      </c>
      <c r="G29" s="286">
        <v>747900000</v>
      </c>
      <c r="H29" s="266">
        <v>761100000</v>
      </c>
      <c r="I29" s="266">
        <v>755500000</v>
      </c>
      <c r="J29" s="266">
        <v>755000000</v>
      </c>
      <c r="K29" s="265">
        <v>750400000</v>
      </c>
    </row>
    <row r="30" spans="1:11" x14ac:dyDescent="0.2">
      <c r="A30" s="285" t="s">
        <v>254</v>
      </c>
      <c r="F30" s="260" t="s">
        <v>253</v>
      </c>
      <c r="G30" s="284"/>
    </row>
    <row r="31" spans="1:11" x14ac:dyDescent="0.2">
      <c r="A31" s="282" t="s">
        <v>252</v>
      </c>
      <c r="B31" s="281"/>
      <c r="C31" s="281"/>
      <c r="D31" s="281"/>
      <c r="E31" s="281"/>
      <c r="F31" s="283" t="s">
        <v>251</v>
      </c>
    </row>
    <row r="32" spans="1:11" x14ac:dyDescent="0.2">
      <c r="A32" s="282" t="s">
        <v>250</v>
      </c>
      <c r="B32" s="281"/>
      <c r="C32" s="281"/>
      <c r="D32" s="281"/>
      <c r="E32" s="281"/>
      <c r="F32" s="280"/>
    </row>
    <row r="33" spans="1:12" x14ac:dyDescent="0.2">
      <c r="A33" s="279"/>
      <c r="F33" s="260" t="s">
        <v>249</v>
      </c>
    </row>
    <row r="34" spans="1:12" ht="14.25" x14ac:dyDescent="0.2">
      <c r="F34" s="278" t="s">
        <v>33</v>
      </c>
      <c r="G34" s="277">
        <v>648478833</v>
      </c>
      <c r="H34" s="277">
        <v>661398537</v>
      </c>
      <c r="I34" s="277">
        <v>657376365</v>
      </c>
      <c r="J34" s="276">
        <v>657759429</v>
      </c>
      <c r="K34" s="275">
        <v>657759429</v>
      </c>
    </row>
    <row r="35" spans="1:12" ht="14.25" x14ac:dyDescent="0.2">
      <c r="A35" s="260" t="s">
        <v>248</v>
      </c>
      <c r="C35" s="274"/>
      <c r="F35" s="272" t="s">
        <v>247</v>
      </c>
      <c r="G35" s="263">
        <f>+G14-G34</f>
        <v>-45021833</v>
      </c>
      <c r="H35" s="263">
        <f>+H14-H34</f>
        <v>-46985537</v>
      </c>
      <c r="I35" s="263">
        <f>+I14-I34</f>
        <v>-47611365</v>
      </c>
      <c r="J35" s="263">
        <f>+J14-J34</f>
        <v>-48409429</v>
      </c>
      <c r="K35" s="273">
        <f>+K14-K34</f>
        <v>-52227429</v>
      </c>
    </row>
    <row r="36" spans="1:12" x14ac:dyDescent="0.2">
      <c r="F36" s="272"/>
      <c r="K36" s="271"/>
    </row>
    <row r="37" spans="1:12" x14ac:dyDescent="0.2">
      <c r="F37" s="270"/>
      <c r="G37" s="269"/>
      <c r="H37" s="269"/>
      <c r="I37" s="269"/>
      <c r="J37" s="268" t="s">
        <v>246</v>
      </c>
      <c r="K37" s="267">
        <f>SUM(G35:J35)</f>
        <v>-188028164</v>
      </c>
    </row>
    <row r="39" spans="1:12" x14ac:dyDescent="0.2">
      <c r="F39" s="266" t="b">
        <f t="shared" ref="F39:K39" si="4">F29=F26</f>
        <v>1</v>
      </c>
      <c r="G39" s="266" t="b">
        <f t="shared" si="4"/>
        <v>1</v>
      </c>
      <c r="H39" s="266" t="b">
        <f t="shared" si="4"/>
        <v>1</v>
      </c>
      <c r="I39" s="266" t="b">
        <f t="shared" si="4"/>
        <v>1</v>
      </c>
      <c r="J39" s="266" t="b">
        <f t="shared" si="4"/>
        <v>1</v>
      </c>
      <c r="K39" s="266" t="b">
        <f t="shared" si="4"/>
        <v>1</v>
      </c>
    </row>
    <row r="40" spans="1:12" hidden="1" x14ac:dyDescent="0.2"/>
    <row r="41" spans="1:12" hidden="1" x14ac:dyDescent="0.2">
      <c r="F41" s="260" t="s">
        <v>234</v>
      </c>
      <c r="G41" s="260" t="s">
        <v>235</v>
      </c>
      <c r="H41" s="260" t="s">
        <v>181</v>
      </c>
      <c r="I41" s="260" t="s">
        <v>182</v>
      </c>
      <c r="J41" s="260" t="s">
        <v>183</v>
      </c>
      <c r="K41" s="260" t="s">
        <v>184</v>
      </c>
    </row>
    <row r="42" spans="1:12" hidden="1" x14ac:dyDescent="0.2">
      <c r="D42" s="260" t="s">
        <v>245</v>
      </c>
      <c r="F42" s="263">
        <v>655701816</v>
      </c>
      <c r="G42" s="263">
        <v>664414036</v>
      </c>
      <c r="H42" s="263">
        <v>666384136</v>
      </c>
      <c r="I42" s="263">
        <v>671016060</v>
      </c>
      <c r="J42" s="263">
        <v>661340680</v>
      </c>
      <c r="K42" s="263">
        <v>661340680</v>
      </c>
    </row>
    <row r="43" spans="1:12" hidden="1" x14ac:dyDescent="0.2">
      <c r="D43" s="260" t="s">
        <v>244</v>
      </c>
      <c r="F43" s="263">
        <v>638759220</v>
      </c>
      <c r="G43" s="263">
        <v>639803940</v>
      </c>
      <c r="H43" s="263">
        <v>643982820</v>
      </c>
      <c r="I43" s="263">
        <v>634057980</v>
      </c>
      <c r="J43" s="263">
        <v>634057980</v>
      </c>
      <c r="K43" s="263">
        <f>K14</f>
        <v>605532000</v>
      </c>
      <c r="L43" s="265">
        <f>SUM(G44:K44)</f>
        <v>-167060872</v>
      </c>
    </row>
    <row r="44" spans="1:12" hidden="1" x14ac:dyDescent="0.2">
      <c r="D44" s="260" t="s">
        <v>243</v>
      </c>
      <c r="F44" s="264">
        <f>F14-F42</f>
        <v>-54079116</v>
      </c>
      <c r="G44" s="263">
        <f>G43-G42</f>
        <v>-24610096</v>
      </c>
      <c r="H44" s="263">
        <f>H43-H42</f>
        <v>-22401316</v>
      </c>
      <c r="I44" s="263">
        <f>I43-I42</f>
        <v>-36958080</v>
      </c>
      <c r="J44" s="263">
        <f>J43-J42</f>
        <v>-27282700</v>
      </c>
      <c r="K44" s="263">
        <f>K43-K42</f>
        <v>-55808680</v>
      </c>
      <c r="L44" s="262" t="s">
        <v>242</v>
      </c>
    </row>
    <row r="45" spans="1:12" x14ac:dyDescent="0.2">
      <c r="I45" s="261"/>
      <c r="J45" s="261"/>
      <c r="K45" s="261"/>
    </row>
  </sheetData>
  <pageMargins left="0.7" right="0.7" top="0.75" bottom="0.75" header="0.3" footer="0.3"/>
  <pageSetup scale="90" orientation="landscape" verticalDpi="1200" r:id="rId1"/>
  <colBreaks count="1" manualBreakCount="1">
    <brk id="12" max="3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6"/>
  <sheetViews>
    <sheetView zoomScaleNormal="100" workbookViewId="0">
      <selection activeCell="B18" sqref="B18"/>
    </sheetView>
  </sheetViews>
  <sheetFormatPr defaultRowHeight="14.25" x14ac:dyDescent="0.2"/>
  <cols>
    <col min="2" max="2" width="13.75" customWidth="1"/>
    <col min="3" max="3" width="17.25" customWidth="1"/>
    <col min="4" max="4" width="20.75" customWidth="1"/>
    <col min="5" max="5" width="16.125" customWidth="1"/>
    <col min="6" max="6" width="20.75" customWidth="1"/>
    <col min="7" max="7" width="19.75" customWidth="1"/>
    <col min="8" max="8" width="26.625" customWidth="1"/>
    <col min="9" max="9" width="31" customWidth="1"/>
    <col min="10" max="10" width="12.125" bestFit="1" customWidth="1"/>
  </cols>
  <sheetData>
    <row r="1" spans="2:10" x14ac:dyDescent="0.2">
      <c r="F1" s="176" t="s">
        <v>135</v>
      </c>
    </row>
    <row r="3" spans="2:10" x14ac:dyDescent="0.2">
      <c r="B3" t="s">
        <v>62</v>
      </c>
      <c r="E3" s="175"/>
    </row>
    <row r="4" spans="2:10" x14ac:dyDescent="0.2">
      <c r="B4" t="s">
        <v>145</v>
      </c>
      <c r="E4" s="74" t="s">
        <v>143</v>
      </c>
      <c r="F4" s="190">
        <v>8.1600000000000006E-2</v>
      </c>
      <c r="G4" s="170" t="s">
        <v>166</v>
      </c>
    </row>
    <row r="5" spans="2:10" x14ac:dyDescent="0.2">
      <c r="E5" s="74"/>
      <c r="F5" s="189">
        <v>7.85E-2</v>
      </c>
      <c r="G5" s="71" t="s">
        <v>156</v>
      </c>
    </row>
    <row r="6" spans="2:10" x14ac:dyDescent="0.2">
      <c r="E6" s="74"/>
      <c r="F6" s="75"/>
    </row>
    <row r="7" spans="2:10" ht="28.5" x14ac:dyDescent="0.2">
      <c r="B7" t="s">
        <v>63</v>
      </c>
      <c r="C7" s="74" t="s">
        <v>64</v>
      </c>
      <c r="D7" s="74" t="s">
        <v>65</v>
      </c>
      <c r="E7" s="76" t="s">
        <v>66</v>
      </c>
      <c r="F7" s="74" t="s">
        <v>158</v>
      </c>
      <c r="G7" s="76" t="s">
        <v>159</v>
      </c>
    </row>
    <row r="8" spans="2:10" x14ac:dyDescent="0.2">
      <c r="B8" s="75">
        <v>43281</v>
      </c>
      <c r="C8" s="171">
        <v>30051667.800000001</v>
      </c>
      <c r="D8" s="171">
        <v>41535115.200000003</v>
      </c>
      <c r="E8" s="171">
        <v>74888332.200000003</v>
      </c>
      <c r="F8" s="171">
        <v>146475115.19999999</v>
      </c>
      <c r="G8" s="90">
        <v>14290585</v>
      </c>
      <c r="H8" s="169" t="s">
        <v>82</v>
      </c>
    </row>
    <row r="9" spans="2:10" x14ac:dyDescent="0.2">
      <c r="B9" s="75">
        <v>43646</v>
      </c>
      <c r="C9" s="171">
        <v>28047313.800000001</v>
      </c>
      <c r="D9" s="171">
        <v>41535115.200000003</v>
      </c>
      <c r="E9" s="171">
        <v>76892686.200000003</v>
      </c>
      <c r="F9" s="171">
        <v>146475115.19999999</v>
      </c>
      <c r="G9" s="90">
        <v>14170374.76</v>
      </c>
      <c r="H9" s="169" t="s">
        <v>82</v>
      </c>
    </row>
    <row r="10" spans="2:10" x14ac:dyDescent="0.2">
      <c r="B10" s="75">
        <v>44012</v>
      </c>
      <c r="C10" s="171">
        <v>26219259</v>
      </c>
      <c r="D10" s="171">
        <v>41535115.200000003</v>
      </c>
      <c r="E10" s="171">
        <v>78720741</v>
      </c>
      <c r="F10" s="171">
        <v>134717145</v>
      </c>
      <c r="G10" s="90">
        <f>Water!N11</f>
        <v>15686125</v>
      </c>
      <c r="H10" s="169" t="s">
        <v>82</v>
      </c>
      <c r="I10" s="177"/>
    </row>
    <row r="11" spans="2:10" x14ac:dyDescent="0.2">
      <c r="B11" s="75">
        <v>44377</v>
      </c>
      <c r="C11" s="171">
        <v>0</v>
      </c>
      <c r="D11" s="171">
        <v>11204362.5</v>
      </c>
      <c r="E11" s="171">
        <v>0</v>
      </c>
      <c r="F11" s="171">
        <v>11204362.5</v>
      </c>
      <c r="G11" s="182">
        <v>4514537</v>
      </c>
      <c r="H11" s="169" t="s">
        <v>82</v>
      </c>
      <c r="I11" s="183"/>
    </row>
    <row r="12" spans="2:10" x14ac:dyDescent="0.2">
      <c r="B12" s="75">
        <v>44742</v>
      </c>
      <c r="C12" s="171">
        <v>16404000</v>
      </c>
      <c r="D12" s="171">
        <v>29777475</v>
      </c>
      <c r="E12" s="171">
        <v>58595999.99999997</v>
      </c>
      <c r="F12" s="171">
        <v>104777474.99999997</v>
      </c>
      <c r="G12" s="90">
        <v>8541319.2799999993</v>
      </c>
      <c r="H12" s="169" t="s">
        <v>82</v>
      </c>
    </row>
    <row r="13" spans="2:10" x14ac:dyDescent="0.2">
      <c r="B13" s="75">
        <v>45107</v>
      </c>
      <c r="C13" s="171">
        <v>70856100</v>
      </c>
      <c r="D13" s="171">
        <v>39988540.799999997</v>
      </c>
      <c r="E13" s="171">
        <v>23868900</v>
      </c>
      <c r="F13" s="171">
        <v>134713540.80000001</v>
      </c>
      <c r="G13" s="90">
        <v>10794659.439999999</v>
      </c>
      <c r="H13" s="169" t="s">
        <v>82</v>
      </c>
      <c r="J13" s="90"/>
    </row>
    <row r="14" spans="2:10" x14ac:dyDescent="0.2">
      <c r="B14" s="75">
        <v>45473</v>
      </c>
      <c r="C14" s="171">
        <v>83018715</v>
      </c>
      <c r="D14" s="171">
        <v>40627138.799999997</v>
      </c>
      <c r="E14" s="171">
        <v>28536284.99999997</v>
      </c>
      <c r="F14" s="171">
        <v>152182138.79999995</v>
      </c>
      <c r="G14" s="90">
        <f t="shared" ref="G14:G25" si="0">F14*$F$4</f>
        <v>12418062.526079997</v>
      </c>
      <c r="H14" s="169" t="s">
        <v>144</v>
      </c>
    </row>
    <row r="15" spans="2:10" x14ac:dyDescent="0.2">
      <c r="B15" s="75">
        <v>45838</v>
      </c>
      <c r="C15" s="171">
        <v>85456573.200000003</v>
      </c>
      <c r="D15" s="171">
        <v>38033924.859999999</v>
      </c>
      <c r="E15" s="171">
        <v>28693426.799999971</v>
      </c>
      <c r="F15" s="171">
        <v>152183924.85999998</v>
      </c>
      <c r="G15" s="90">
        <f t="shared" si="0"/>
        <v>12418208.268576</v>
      </c>
      <c r="H15" s="169" t="s">
        <v>144</v>
      </c>
      <c r="J15" s="189">
        <f t="shared" ref="J15:J25" si="1">+G15/G14-1</f>
        <v>1.1736331307465875E-5</v>
      </c>
    </row>
    <row r="16" spans="2:10" x14ac:dyDescent="0.2">
      <c r="B16" s="75">
        <v>46203</v>
      </c>
      <c r="C16" s="171">
        <v>99847885</v>
      </c>
      <c r="D16" s="171">
        <v>35259656.460000001</v>
      </c>
      <c r="E16" s="171">
        <v>17077115.000000015</v>
      </c>
      <c r="F16" s="171">
        <v>152184656.46000004</v>
      </c>
      <c r="G16" s="90">
        <f t="shared" si="0"/>
        <v>12418267.967136003</v>
      </c>
      <c r="H16" s="169" t="s">
        <v>144</v>
      </c>
      <c r="J16" s="189">
        <f t="shared" si="1"/>
        <v>4.8073408589477395E-6</v>
      </c>
    </row>
    <row r="17" spans="2:10" x14ac:dyDescent="0.2">
      <c r="B17" s="75">
        <v>46568</v>
      </c>
      <c r="C17" s="171">
        <v>121970000</v>
      </c>
      <c r="D17" s="171">
        <v>31401992.399999999</v>
      </c>
      <c r="E17" s="171">
        <v>0</v>
      </c>
      <c r="F17" s="171">
        <v>153371992.40000001</v>
      </c>
      <c r="G17" s="90">
        <f t="shared" si="0"/>
        <v>12515154.579840001</v>
      </c>
      <c r="H17" s="169" t="s">
        <v>144</v>
      </c>
      <c r="J17" s="189">
        <f t="shared" si="1"/>
        <v>7.8019425060242842E-3</v>
      </c>
    </row>
    <row r="18" spans="2:10" x14ac:dyDescent="0.2">
      <c r="B18" s="75">
        <v>46934</v>
      </c>
      <c r="C18" s="171">
        <v>129070000</v>
      </c>
      <c r="D18" s="171">
        <v>24300279.699999999</v>
      </c>
      <c r="E18" s="171">
        <v>0</v>
      </c>
      <c r="F18" s="171">
        <v>153370279.69999999</v>
      </c>
      <c r="G18" s="90">
        <f t="shared" si="0"/>
        <v>12515014.823519999</v>
      </c>
      <c r="H18" s="169" t="s">
        <v>144</v>
      </c>
      <c r="J18" s="189">
        <f t="shared" si="1"/>
        <v>-1.116696714453802E-5</v>
      </c>
    </row>
    <row r="19" spans="2:10" x14ac:dyDescent="0.2">
      <c r="B19" s="75">
        <v>47299</v>
      </c>
      <c r="C19" s="171">
        <v>225000000</v>
      </c>
      <c r="D19" s="171">
        <v>9361679</v>
      </c>
      <c r="E19" s="171">
        <v>0</v>
      </c>
      <c r="F19" s="171">
        <v>234361679</v>
      </c>
      <c r="G19" s="90">
        <f t="shared" si="0"/>
        <v>19123913.0064</v>
      </c>
      <c r="H19" s="169" t="s">
        <v>144</v>
      </c>
      <c r="J19" s="189">
        <f t="shared" si="1"/>
        <v>0.52807753535054691</v>
      </c>
    </row>
    <row r="20" spans="2:10" x14ac:dyDescent="0.2">
      <c r="B20" s="75">
        <v>47664</v>
      </c>
      <c r="C20" s="171">
        <v>0</v>
      </c>
      <c r="D20" s="171">
        <v>1992929</v>
      </c>
      <c r="E20" s="171">
        <v>0</v>
      </c>
      <c r="F20" s="171">
        <v>1992929</v>
      </c>
      <c r="G20" s="90">
        <f t="shared" si="0"/>
        <v>162623.00640000001</v>
      </c>
      <c r="H20" s="169" t="s">
        <v>144</v>
      </c>
      <c r="J20" s="189">
        <f t="shared" si="1"/>
        <v>-0.99149635295111538</v>
      </c>
    </row>
    <row r="21" spans="2:10" x14ac:dyDescent="0.2">
      <c r="B21" s="75">
        <v>48029</v>
      </c>
      <c r="C21" s="171">
        <v>0</v>
      </c>
      <c r="D21" s="171">
        <v>1992929</v>
      </c>
      <c r="E21" s="171">
        <v>0</v>
      </c>
      <c r="F21" s="171">
        <v>1992929</v>
      </c>
      <c r="G21" s="90">
        <f t="shared" si="0"/>
        <v>162623.00640000001</v>
      </c>
      <c r="H21" s="169" t="s">
        <v>144</v>
      </c>
      <c r="J21" s="189">
        <f t="shared" si="1"/>
        <v>0</v>
      </c>
    </row>
    <row r="22" spans="2:10" x14ac:dyDescent="0.2">
      <c r="B22" s="75">
        <v>48395</v>
      </c>
      <c r="C22" s="171">
        <v>0</v>
      </c>
      <c r="D22" s="171">
        <v>1992929</v>
      </c>
      <c r="E22" s="171">
        <v>0</v>
      </c>
      <c r="F22" s="171">
        <v>1992929</v>
      </c>
      <c r="G22" s="90">
        <f t="shared" si="0"/>
        <v>162623.00640000001</v>
      </c>
      <c r="H22" s="169" t="s">
        <v>144</v>
      </c>
      <c r="J22" s="189">
        <f t="shared" si="1"/>
        <v>0</v>
      </c>
    </row>
    <row r="23" spans="2:10" x14ac:dyDescent="0.2">
      <c r="B23" s="75">
        <v>48760</v>
      </c>
      <c r="C23" s="171">
        <v>6365000</v>
      </c>
      <c r="D23" s="171">
        <v>1992929</v>
      </c>
      <c r="E23" s="171">
        <v>0</v>
      </c>
      <c r="F23" s="171">
        <v>8357929</v>
      </c>
      <c r="G23" s="90">
        <f t="shared" si="0"/>
        <v>682007.00640000007</v>
      </c>
      <c r="H23" s="169" t="s">
        <v>144</v>
      </c>
      <c r="J23" s="189">
        <f t="shared" si="1"/>
        <v>3.193791650379918</v>
      </c>
    </row>
    <row r="24" spans="2:10" x14ac:dyDescent="0.2">
      <c r="B24" s="75">
        <v>49125</v>
      </c>
      <c r="C24" s="171">
        <v>20955000</v>
      </c>
      <c r="D24" s="171">
        <v>1803252</v>
      </c>
      <c r="E24" s="171">
        <v>0</v>
      </c>
      <c r="F24" s="171">
        <v>22758252</v>
      </c>
      <c r="G24" s="90">
        <f t="shared" si="0"/>
        <v>1857073.3632</v>
      </c>
      <c r="H24" s="169" t="s">
        <v>144</v>
      </c>
      <c r="J24" s="189">
        <f t="shared" si="1"/>
        <v>1.7229534972120484</v>
      </c>
    </row>
    <row r="25" spans="2:10" x14ac:dyDescent="0.2">
      <c r="B25" s="75">
        <v>49490</v>
      </c>
      <c r="C25" s="171">
        <v>36410000</v>
      </c>
      <c r="D25" s="171">
        <v>1157838</v>
      </c>
      <c r="E25" s="171">
        <v>0</v>
      </c>
      <c r="F25" s="171">
        <v>37567838</v>
      </c>
      <c r="G25" s="90">
        <f t="shared" si="0"/>
        <v>3065535.5808000001</v>
      </c>
      <c r="H25" s="169" t="s">
        <v>144</v>
      </c>
      <c r="J25" s="189">
        <f t="shared" si="1"/>
        <v>0.65073477523669232</v>
      </c>
    </row>
    <row r="26" spans="2:10" x14ac:dyDescent="0.2">
      <c r="B26" s="75"/>
      <c r="C26" s="171"/>
      <c r="D26" s="171"/>
      <c r="E26" s="171"/>
      <c r="F26" s="171"/>
      <c r="G26" s="90"/>
    </row>
  </sheetData>
  <pageMargins left="0.7" right="0.7" top="0.75" bottom="0.75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B7DF-50E9-43CB-8B16-098ABD0A8A63}">
  <dimension ref="A1:K26"/>
  <sheetViews>
    <sheetView workbookViewId="0">
      <selection activeCell="A38" sqref="A38"/>
    </sheetView>
  </sheetViews>
  <sheetFormatPr defaultRowHeight="14.25" x14ac:dyDescent="0.2"/>
  <cols>
    <col min="3" max="3" width="10.625" customWidth="1"/>
    <col min="4" max="11" width="17.625" customWidth="1"/>
  </cols>
  <sheetData>
    <row r="1" spans="1:11" x14ac:dyDescent="0.2">
      <c r="A1" s="214" t="s">
        <v>196</v>
      </c>
      <c r="B1" s="215"/>
      <c r="C1" s="215"/>
      <c r="D1" s="215"/>
      <c r="E1" s="215"/>
      <c r="F1" s="215"/>
      <c r="G1" s="215"/>
      <c r="H1" s="215"/>
      <c r="I1" s="215"/>
      <c r="J1" s="215"/>
      <c r="K1" s="216"/>
    </row>
    <row r="2" spans="1:11" x14ac:dyDescent="0.2">
      <c r="A2" s="214" t="s">
        <v>197</v>
      </c>
      <c r="B2" s="215"/>
      <c r="C2" s="215"/>
      <c r="D2" s="215"/>
      <c r="E2" s="215"/>
      <c r="F2" s="215"/>
      <c r="G2" s="215"/>
      <c r="H2" s="215"/>
      <c r="I2" s="215"/>
      <c r="J2" s="215"/>
      <c r="K2" s="216"/>
    </row>
    <row r="3" spans="1:11" x14ac:dyDescent="0.2">
      <c r="A3" s="214" t="s">
        <v>198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">
      <c r="A5" s="220"/>
      <c r="B5" s="221"/>
      <c r="C5" s="221" t="s">
        <v>199</v>
      </c>
      <c r="D5" s="222" t="s">
        <v>200</v>
      </c>
      <c r="E5" s="223"/>
      <c r="F5" s="222" t="s">
        <v>201</v>
      </c>
      <c r="G5" s="223" t="s">
        <v>202</v>
      </c>
      <c r="H5" s="221" t="s">
        <v>203</v>
      </c>
      <c r="I5" s="221" t="s">
        <v>204</v>
      </c>
      <c r="J5" s="221" t="s">
        <v>205</v>
      </c>
      <c r="K5" s="224" t="s">
        <v>206</v>
      </c>
    </row>
    <row r="6" spans="1:11" x14ac:dyDescent="0.2">
      <c r="A6" s="225" t="s">
        <v>207</v>
      </c>
      <c r="B6" s="221"/>
      <c r="C6" s="226"/>
      <c r="D6" s="227" t="s">
        <v>208</v>
      </c>
      <c r="E6" s="228" t="s">
        <v>209</v>
      </c>
      <c r="F6" s="229"/>
      <c r="G6" s="230"/>
      <c r="H6" s="231"/>
      <c r="I6" s="231"/>
      <c r="J6" s="231"/>
      <c r="K6" s="232"/>
    </row>
    <row r="7" spans="1:11" x14ac:dyDescent="0.2">
      <c r="A7" s="217" t="s">
        <v>210</v>
      </c>
      <c r="B7" s="233" t="s">
        <v>211</v>
      </c>
      <c r="C7" s="234">
        <v>110998394.20999999</v>
      </c>
      <c r="D7" s="235">
        <v>0.82399999999999995</v>
      </c>
      <c r="E7" s="236">
        <v>0.87539999999999996</v>
      </c>
      <c r="F7" s="237">
        <v>129720246</v>
      </c>
      <c r="G7" s="238">
        <v>129721808</v>
      </c>
      <c r="H7" s="239">
        <v>129722447</v>
      </c>
      <c r="I7" s="239">
        <v>130761842</v>
      </c>
      <c r="J7" s="239">
        <v>130760343</v>
      </c>
      <c r="K7" s="240">
        <v>201660214</v>
      </c>
    </row>
    <row r="8" spans="1:11" x14ac:dyDescent="0.2">
      <c r="A8" s="217" t="s">
        <v>212</v>
      </c>
      <c r="B8" s="233" t="s">
        <v>213</v>
      </c>
      <c r="C8" s="241">
        <v>10794659.439999999</v>
      </c>
      <c r="D8" s="235">
        <v>8.0100000000000005E-2</v>
      </c>
      <c r="E8" s="236">
        <v>8.1600000000000006E-2</v>
      </c>
      <c r="F8" s="237">
        <v>12418063</v>
      </c>
      <c r="G8" s="238">
        <v>12418208</v>
      </c>
      <c r="H8" s="239">
        <v>12418268</v>
      </c>
      <c r="I8" s="239">
        <v>12515155</v>
      </c>
      <c r="J8" s="239">
        <v>12515015</v>
      </c>
      <c r="K8" s="240">
        <v>19123913</v>
      </c>
    </row>
    <row r="9" spans="1:11" x14ac:dyDescent="0.2">
      <c r="A9" s="242" t="s">
        <v>214</v>
      </c>
      <c r="B9" s="233" t="s">
        <v>215</v>
      </c>
      <c r="C9" s="241">
        <v>7568652.0899999999</v>
      </c>
      <c r="D9" s="235">
        <v>5.62E-2</v>
      </c>
      <c r="E9" s="236">
        <v>8.3000000000000001E-3</v>
      </c>
      <c r="F9" s="237">
        <v>1263113</v>
      </c>
      <c r="G9" s="238">
        <v>1263127</v>
      </c>
      <c r="H9" s="239">
        <v>1263134</v>
      </c>
      <c r="I9" s="239">
        <v>1272988</v>
      </c>
      <c r="J9" s="239">
        <v>1272971</v>
      </c>
      <c r="K9" s="240">
        <v>1945202</v>
      </c>
    </row>
    <row r="10" spans="1:11" x14ac:dyDescent="0.2">
      <c r="A10" s="242" t="s">
        <v>216</v>
      </c>
      <c r="B10" s="233" t="s">
        <v>217</v>
      </c>
      <c r="C10" s="241">
        <v>4074567.5</v>
      </c>
      <c r="D10" s="235">
        <v>3.0200000000000001E-2</v>
      </c>
      <c r="E10" s="236">
        <v>2.9499999999999998E-2</v>
      </c>
      <c r="F10" s="237">
        <v>4489373</v>
      </c>
      <c r="G10" s="238">
        <v>4489426</v>
      </c>
      <c r="H10" s="239">
        <v>4489447</v>
      </c>
      <c r="I10" s="239">
        <v>4524474</v>
      </c>
      <c r="J10" s="239">
        <v>4524423</v>
      </c>
      <c r="K10" s="240">
        <v>6913670</v>
      </c>
    </row>
    <row r="11" spans="1:11" x14ac:dyDescent="0.2">
      <c r="A11" s="242" t="s">
        <v>218</v>
      </c>
      <c r="B11" s="233" t="s">
        <v>219</v>
      </c>
      <c r="C11" s="241">
        <v>379135.93</v>
      </c>
      <c r="D11" s="235">
        <v>2.8E-3</v>
      </c>
      <c r="E11" s="236">
        <v>2.8999999999999998E-3</v>
      </c>
      <c r="F11" s="237">
        <v>441328</v>
      </c>
      <c r="G11" s="238">
        <v>441333</v>
      </c>
      <c r="H11" s="239">
        <v>441335</v>
      </c>
      <c r="I11" s="239">
        <v>444779</v>
      </c>
      <c r="J11" s="239">
        <v>444774</v>
      </c>
      <c r="K11" s="240">
        <v>679649</v>
      </c>
    </row>
    <row r="12" spans="1:11" x14ac:dyDescent="0.2">
      <c r="A12" s="242" t="s">
        <v>220</v>
      </c>
      <c r="B12" s="233" t="s">
        <v>221</v>
      </c>
      <c r="C12" s="241">
        <v>58391.839999999997</v>
      </c>
      <c r="D12" s="235">
        <v>4.0000000000000002E-4</v>
      </c>
      <c r="E12" s="236">
        <v>4.0000000000000002E-4</v>
      </c>
      <c r="F12" s="237">
        <v>60873</v>
      </c>
      <c r="G12" s="238">
        <v>60874</v>
      </c>
      <c r="H12" s="239">
        <v>60874</v>
      </c>
      <c r="I12" s="239">
        <v>61349</v>
      </c>
      <c r="J12" s="239">
        <v>61348</v>
      </c>
      <c r="K12" s="240">
        <v>93745</v>
      </c>
    </row>
    <row r="13" spans="1:11" x14ac:dyDescent="0.2">
      <c r="A13" s="242" t="s">
        <v>222</v>
      </c>
      <c r="B13" s="233" t="s">
        <v>223</v>
      </c>
      <c r="C13" s="241"/>
      <c r="D13" s="235"/>
      <c r="E13" s="236"/>
      <c r="F13" s="237">
        <v>3500000</v>
      </c>
      <c r="G13" s="238">
        <v>3500000</v>
      </c>
      <c r="H13" s="239">
        <v>3500000</v>
      </c>
      <c r="I13" s="239">
        <v>3500000</v>
      </c>
      <c r="J13" s="239">
        <v>3500000</v>
      </c>
      <c r="K13" s="240">
        <v>3500000</v>
      </c>
    </row>
    <row r="14" spans="1:11" x14ac:dyDescent="0.2">
      <c r="A14" s="242" t="s">
        <v>224</v>
      </c>
      <c r="B14" s="233" t="s">
        <v>225</v>
      </c>
      <c r="C14" s="241">
        <v>0</v>
      </c>
      <c r="D14" s="235">
        <v>0</v>
      </c>
      <c r="E14" s="236">
        <v>0</v>
      </c>
      <c r="F14" s="237">
        <v>0</v>
      </c>
      <c r="G14" s="238">
        <v>0</v>
      </c>
      <c r="H14" s="239">
        <v>0</v>
      </c>
      <c r="I14" s="239">
        <v>0</v>
      </c>
      <c r="J14" s="239">
        <v>0</v>
      </c>
      <c r="K14" s="240">
        <v>0</v>
      </c>
    </row>
    <row r="15" spans="1:11" x14ac:dyDescent="0.2">
      <c r="A15" s="242" t="s">
        <v>226</v>
      </c>
      <c r="B15" s="233" t="s">
        <v>227</v>
      </c>
      <c r="C15" s="241">
        <v>0</v>
      </c>
      <c r="D15" s="235">
        <v>0</v>
      </c>
      <c r="E15" s="236">
        <v>0</v>
      </c>
      <c r="F15" s="237">
        <v>0</v>
      </c>
      <c r="G15" s="238">
        <v>0</v>
      </c>
      <c r="H15" s="239">
        <v>0</v>
      </c>
      <c r="I15" s="239">
        <v>0</v>
      </c>
      <c r="J15" s="239">
        <v>0</v>
      </c>
      <c r="K15" s="240">
        <v>0</v>
      </c>
    </row>
    <row r="16" spans="1:11" x14ac:dyDescent="0.2">
      <c r="A16" s="242" t="s">
        <v>228</v>
      </c>
      <c r="B16" s="233" t="s">
        <v>229</v>
      </c>
      <c r="C16" s="241">
        <v>255225.5</v>
      </c>
      <c r="D16" s="235">
        <v>1.9E-3</v>
      </c>
      <c r="E16" s="236">
        <v>1.9E-3</v>
      </c>
      <c r="F16" s="237">
        <v>289146</v>
      </c>
      <c r="G16" s="238">
        <v>289149</v>
      </c>
      <c r="H16" s="239">
        <v>289151</v>
      </c>
      <c r="I16" s="239">
        <v>291407</v>
      </c>
      <c r="J16" s="239">
        <v>291404</v>
      </c>
      <c r="K16" s="240">
        <v>445287</v>
      </c>
    </row>
    <row r="17" spans="1:11" x14ac:dyDescent="0.2">
      <c r="A17" s="217"/>
      <c r="B17" s="218"/>
      <c r="C17" s="243">
        <v>134129026.51000001</v>
      </c>
      <c r="D17" s="244">
        <v>0.99559999999999993</v>
      </c>
      <c r="E17" s="245">
        <v>0.99999999999999989</v>
      </c>
      <c r="F17" s="246">
        <v>152182142</v>
      </c>
      <c r="G17" s="247">
        <v>152183925</v>
      </c>
      <c r="H17" s="248">
        <v>152184656</v>
      </c>
      <c r="I17" s="248">
        <v>153371994</v>
      </c>
      <c r="J17" s="248">
        <v>153370278</v>
      </c>
      <c r="K17" s="249">
        <v>234361680</v>
      </c>
    </row>
    <row r="18" spans="1:11" x14ac:dyDescent="0.2">
      <c r="A18" s="217"/>
      <c r="B18" s="218"/>
      <c r="C18" s="250"/>
      <c r="D18" s="250"/>
      <c r="E18" s="250"/>
      <c r="F18" s="218"/>
      <c r="G18" s="218"/>
      <c r="H18" s="218"/>
      <c r="I18" s="218"/>
      <c r="J18" s="218"/>
      <c r="K18" s="219"/>
    </row>
    <row r="19" spans="1:11" x14ac:dyDescent="0.2">
      <c r="A19" s="217"/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11" x14ac:dyDescent="0.2">
      <c r="A20" s="217"/>
      <c r="B20" s="218"/>
      <c r="C20" s="250">
        <v>134713540</v>
      </c>
      <c r="D20" s="250"/>
      <c r="E20" s="251" t="s">
        <v>230</v>
      </c>
      <c r="F20" s="250">
        <v>152182141</v>
      </c>
      <c r="G20" s="250">
        <v>152183925</v>
      </c>
      <c r="H20" s="250">
        <v>152184655</v>
      </c>
      <c r="I20" s="250">
        <v>153371992</v>
      </c>
      <c r="J20" s="250">
        <v>153370280</v>
      </c>
      <c r="K20" s="252">
        <v>234361679</v>
      </c>
    </row>
    <row r="21" spans="1:11" x14ac:dyDescent="0.2">
      <c r="A21" s="217"/>
      <c r="B21" s="218"/>
      <c r="C21" s="218"/>
      <c r="D21" s="218"/>
      <c r="E21" s="218"/>
      <c r="F21" s="218"/>
      <c r="G21" s="218"/>
      <c r="H21" s="218"/>
      <c r="I21" s="218"/>
      <c r="J21" s="218"/>
      <c r="K21" s="219"/>
    </row>
    <row r="22" spans="1:11" x14ac:dyDescent="0.2">
      <c r="A22" s="253"/>
      <c r="B22" s="218"/>
      <c r="C22" s="218"/>
      <c r="D22" s="218"/>
      <c r="E22" s="218"/>
      <c r="F22" s="250"/>
      <c r="G22" s="218"/>
      <c r="H22" s="218"/>
      <c r="I22" s="218"/>
      <c r="J22" s="218"/>
      <c r="K22" s="219"/>
    </row>
    <row r="23" spans="1:11" x14ac:dyDescent="0.2">
      <c r="A23" s="253" t="s">
        <v>231</v>
      </c>
      <c r="B23" s="218"/>
      <c r="C23" s="218"/>
      <c r="D23" s="218"/>
      <c r="E23" s="218"/>
      <c r="F23" s="250"/>
      <c r="G23" s="218"/>
      <c r="H23" s="218"/>
      <c r="I23" s="218"/>
      <c r="J23" s="218"/>
      <c r="K23" s="219"/>
    </row>
    <row r="24" spans="1:11" ht="15" thickBot="1" x14ac:dyDescent="0.25">
      <c r="A24" s="254" t="s">
        <v>232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6"/>
    </row>
    <row r="26" spans="1:11" x14ac:dyDescent="0.2">
      <c r="D26" s="257" t="s">
        <v>233</v>
      </c>
      <c r="E26" s="257"/>
      <c r="F26" s="258">
        <f>F8/F20</f>
        <v>8.1600001934523977E-2</v>
      </c>
      <c r="G26" s="258">
        <f>G8/G20</f>
        <v>8.1599998160121048E-2</v>
      </c>
      <c r="H26" s="258">
        <f>H8/H20</f>
        <v>8.1600000998786643E-2</v>
      </c>
      <c r="I26" s="258">
        <f t="shared" ref="I26:K26" si="0">I8/I20</f>
        <v>8.1600002952299133E-2</v>
      </c>
      <c r="J26" s="258">
        <f t="shared" si="0"/>
        <v>8.1600000991065541E-2</v>
      </c>
      <c r="K26" s="258">
        <f t="shared" si="0"/>
        <v>8.1599999972691781E-2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3:V27"/>
  <sheetViews>
    <sheetView zoomScaleNormal="100" workbookViewId="0">
      <selection activeCell="I24" sqref="I24"/>
    </sheetView>
  </sheetViews>
  <sheetFormatPr defaultColWidth="9" defaultRowHeight="15" x14ac:dyDescent="0.25"/>
  <cols>
    <col min="1" max="1" width="9" style="22"/>
    <col min="2" max="2" width="3.75" style="22" customWidth="1"/>
    <col min="3" max="3" width="9.25" style="22" bestFit="1" customWidth="1"/>
    <col min="4" max="4" width="14.875" style="22" customWidth="1"/>
    <col min="5" max="5" width="10.875" style="22" customWidth="1"/>
    <col min="6" max="6" width="11.375" style="22" customWidth="1"/>
    <col min="7" max="10" width="11.125" style="22" bestFit="1" customWidth="1"/>
    <col min="11" max="11" width="13.375" style="22" bestFit="1" customWidth="1"/>
    <col min="12" max="13" width="13.375" style="22" customWidth="1"/>
    <col min="14" max="14" width="14.625" style="22" customWidth="1"/>
    <col min="15" max="16" width="13.375" style="22" customWidth="1"/>
    <col min="17" max="17" width="11.75" style="22" customWidth="1"/>
    <col min="18" max="16384" width="9" style="22"/>
  </cols>
  <sheetData>
    <row r="3" spans="3:22" ht="18.75" x14ac:dyDescent="0.3">
      <c r="C3" s="20"/>
      <c r="D3" s="63" t="s">
        <v>85</v>
      </c>
      <c r="E3" s="21"/>
      <c r="F3" s="20"/>
      <c r="G3" s="20"/>
      <c r="H3" s="20"/>
    </row>
    <row r="4" spans="3:22" x14ac:dyDescent="0.25">
      <c r="C4" s="20"/>
      <c r="D4" s="20"/>
      <c r="E4" s="20"/>
      <c r="F4" s="20"/>
      <c r="G4" s="20"/>
      <c r="H4" s="20"/>
    </row>
    <row r="5" spans="3:22" x14ac:dyDescent="0.25">
      <c r="C5" s="20"/>
      <c r="D5" s="23" t="s">
        <v>21</v>
      </c>
      <c r="E5" s="23" t="s">
        <v>25</v>
      </c>
      <c r="F5" s="20"/>
      <c r="G5" s="20"/>
      <c r="H5" s="20"/>
      <c r="I5" s="212"/>
      <c r="O5" s="24"/>
      <c r="P5" s="24"/>
      <c r="R5" s="122"/>
      <c r="U5" s="212" t="s">
        <v>192</v>
      </c>
    </row>
    <row r="6" spans="3:22" x14ac:dyDescent="0.25">
      <c r="D6" s="25" t="s">
        <v>2</v>
      </c>
      <c r="E6" s="26"/>
      <c r="F6" s="26"/>
      <c r="G6" s="26"/>
      <c r="H6" s="26"/>
      <c r="N6" s="54"/>
      <c r="O6" s="57"/>
      <c r="P6" s="121"/>
      <c r="Q6" s="172"/>
      <c r="R6" s="184"/>
      <c r="S6" s="207"/>
      <c r="T6" s="207"/>
      <c r="U6" s="207" t="s">
        <v>157</v>
      </c>
      <c r="V6" s="212" t="s">
        <v>89</v>
      </c>
    </row>
    <row r="7" spans="3:22" x14ac:dyDescent="0.25">
      <c r="C7" s="212" t="s">
        <v>195</v>
      </c>
      <c r="D7" s="27">
        <v>2007</v>
      </c>
      <c r="E7" s="27">
        <v>2008</v>
      </c>
      <c r="F7" s="27">
        <v>2009</v>
      </c>
      <c r="G7" s="27">
        <v>2010</v>
      </c>
      <c r="H7" s="27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28">
        <v>2017</v>
      </c>
      <c r="O7" s="28">
        <v>2018</v>
      </c>
      <c r="P7" s="28">
        <v>2019</v>
      </c>
      <c r="Q7" s="28">
        <v>2020</v>
      </c>
      <c r="R7" s="28">
        <v>2021</v>
      </c>
      <c r="S7" s="28">
        <v>2022</v>
      </c>
      <c r="T7" s="28">
        <v>2023</v>
      </c>
      <c r="U7" s="28">
        <v>2024</v>
      </c>
      <c r="V7" s="22">
        <v>2025</v>
      </c>
    </row>
    <row r="8" spans="3:22" x14ac:dyDescent="0.25"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9"/>
    </row>
    <row r="9" spans="3:22" ht="16.5" customHeight="1" x14ac:dyDescent="0.25">
      <c r="C9" s="22">
        <v>187</v>
      </c>
      <c r="D9" s="29">
        <v>1782423</v>
      </c>
      <c r="E9" s="29">
        <v>1864387</v>
      </c>
      <c r="F9" s="29">
        <v>998493</v>
      </c>
      <c r="G9" s="29">
        <v>1070726</v>
      </c>
      <c r="H9" s="29">
        <v>1544586</v>
      </c>
      <c r="I9" s="29">
        <v>2210526</v>
      </c>
      <c r="J9" s="29">
        <v>1703485</v>
      </c>
      <c r="K9" s="29">
        <v>1327564</v>
      </c>
      <c r="L9" s="29">
        <v>1859758</v>
      </c>
      <c r="M9" s="29">
        <v>1771007</v>
      </c>
      <c r="N9" s="29">
        <v>2172410</v>
      </c>
      <c r="O9" s="96">
        <v>2998991</v>
      </c>
      <c r="P9" s="97">
        <v>2295309</v>
      </c>
      <c r="Q9" s="92">
        <v>2576382</v>
      </c>
      <c r="R9" s="92">
        <v>2364011</v>
      </c>
      <c r="S9" s="92">
        <f>Water!P8</f>
        <v>2890507</v>
      </c>
      <c r="T9" s="92">
        <v>3154629.69</v>
      </c>
      <c r="U9" s="209">
        <v>3202337</v>
      </c>
      <c r="V9" s="22">
        <v>4100000</v>
      </c>
    </row>
    <row r="10" spans="3:22" x14ac:dyDescent="0.25"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96"/>
      <c r="P10" s="97"/>
      <c r="Q10" s="29"/>
      <c r="R10" s="29"/>
      <c r="S10" s="29"/>
      <c r="T10" s="29"/>
      <c r="U10" s="209"/>
    </row>
    <row r="11" spans="3:22" x14ac:dyDescent="0.25">
      <c r="C11" s="22">
        <v>188</v>
      </c>
      <c r="D11" s="29">
        <v>500000</v>
      </c>
      <c r="E11" s="29">
        <v>850463</v>
      </c>
      <c r="F11" s="29">
        <v>1003528</v>
      </c>
      <c r="G11" s="29">
        <v>1136473</v>
      </c>
      <c r="H11" s="29">
        <v>1866771</v>
      </c>
      <c r="I11" s="29">
        <v>1405550</v>
      </c>
      <c r="J11" s="29">
        <v>1674689</v>
      </c>
      <c r="K11" s="29">
        <v>1741456</v>
      </c>
      <c r="L11" s="29">
        <v>1756884</v>
      </c>
      <c r="M11" s="29">
        <v>2018262</v>
      </c>
      <c r="N11" s="29">
        <v>1897752</v>
      </c>
      <c r="O11" s="96">
        <v>2444376</v>
      </c>
      <c r="P11" s="97">
        <v>3002414</v>
      </c>
      <c r="Q11" s="92">
        <v>2363177</v>
      </c>
      <c r="R11" s="92">
        <v>2683410</v>
      </c>
      <c r="S11" s="92">
        <f>Water!P9</f>
        <v>2878367</v>
      </c>
      <c r="T11" s="92">
        <v>2610281.0099999998</v>
      </c>
      <c r="U11" s="209">
        <v>3258950</v>
      </c>
      <c r="V11" s="22">
        <v>3500000</v>
      </c>
    </row>
    <row r="12" spans="3:22" x14ac:dyDescent="0.25">
      <c r="D12" s="32"/>
      <c r="E12" s="32"/>
      <c r="F12" s="32"/>
      <c r="G12" s="32"/>
      <c r="H12" s="32"/>
      <c r="I12" s="32"/>
      <c r="J12" s="29"/>
      <c r="K12" s="29"/>
      <c r="L12" s="29"/>
      <c r="M12" s="29"/>
      <c r="O12" s="29"/>
      <c r="P12" s="97"/>
      <c r="Q12" s="29"/>
      <c r="R12" s="29"/>
      <c r="S12" s="29"/>
      <c r="T12" s="29"/>
      <c r="U12" s="209"/>
    </row>
    <row r="13" spans="3:22" x14ac:dyDescent="0.25">
      <c r="D13" s="29">
        <f t="shared" ref="D13:P13" si="0">SUM(D8:D11)</f>
        <v>2282423</v>
      </c>
      <c r="E13" s="29">
        <f t="shared" si="0"/>
        <v>2714850</v>
      </c>
      <c r="F13" s="29">
        <f t="shared" si="0"/>
        <v>2002021</v>
      </c>
      <c r="G13" s="29">
        <f t="shared" si="0"/>
        <v>2207199</v>
      </c>
      <c r="H13" s="29">
        <f t="shared" si="0"/>
        <v>3411357</v>
      </c>
      <c r="I13" s="29">
        <f t="shared" si="0"/>
        <v>3616076</v>
      </c>
      <c r="J13" s="33">
        <f t="shared" si="0"/>
        <v>3378174</v>
      </c>
      <c r="K13" s="34">
        <f t="shared" si="0"/>
        <v>3069020</v>
      </c>
      <c r="L13" s="34">
        <f t="shared" si="0"/>
        <v>3616642</v>
      </c>
      <c r="M13" s="33">
        <f t="shared" si="0"/>
        <v>3789269</v>
      </c>
      <c r="N13" s="33">
        <f t="shared" si="0"/>
        <v>4070162</v>
      </c>
      <c r="O13" s="33">
        <f t="shared" si="0"/>
        <v>5443367</v>
      </c>
      <c r="P13" s="98">
        <f t="shared" si="0"/>
        <v>5297723</v>
      </c>
      <c r="Q13" s="98">
        <f>SUM(Q9:Q11)</f>
        <v>4939559</v>
      </c>
      <c r="R13" s="98">
        <f t="shared" ref="R13:S13" si="1">SUM(R8:R11)</f>
        <v>5047421</v>
      </c>
      <c r="S13" s="98">
        <f t="shared" si="1"/>
        <v>5768874</v>
      </c>
      <c r="T13" s="98">
        <f t="shared" ref="T13:V13" si="2">SUM(T8:T11)</f>
        <v>5764910.6999999993</v>
      </c>
      <c r="U13" s="98">
        <f t="shared" si="2"/>
        <v>6461287</v>
      </c>
      <c r="V13" s="98">
        <f t="shared" si="2"/>
        <v>7600000</v>
      </c>
    </row>
    <row r="14" spans="3:22" x14ac:dyDescent="0.25"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3:22" x14ac:dyDescent="0.25">
      <c r="C15" s="212" t="s">
        <v>190</v>
      </c>
      <c r="D15" s="35"/>
      <c r="E15" s="35">
        <f t="shared" ref="E15:O15" si="3">(E13-D13)/D13</f>
        <v>0.18945962251519546</v>
      </c>
      <c r="F15" s="35">
        <f t="shared" si="3"/>
        <v>-0.26256662430705197</v>
      </c>
      <c r="G15" s="35">
        <f t="shared" si="3"/>
        <v>0.10248543846443169</v>
      </c>
      <c r="H15" s="35">
        <f t="shared" si="3"/>
        <v>0.54555932654916928</v>
      </c>
      <c r="I15" s="35">
        <f t="shared" si="3"/>
        <v>6.0011016144015418E-2</v>
      </c>
      <c r="J15" s="35">
        <f t="shared" si="3"/>
        <v>-6.5790099544367986E-2</v>
      </c>
      <c r="K15" s="35">
        <f t="shared" si="3"/>
        <v>-9.1515120298717598E-2</v>
      </c>
      <c r="L15" s="35">
        <f t="shared" si="3"/>
        <v>0.17843546148281861</v>
      </c>
      <c r="M15" s="35">
        <f t="shared" si="3"/>
        <v>4.7731293282553267E-2</v>
      </c>
      <c r="N15" s="35">
        <f t="shared" si="3"/>
        <v>7.4128545637694235E-2</v>
      </c>
      <c r="O15" s="35">
        <f t="shared" si="3"/>
        <v>0.33738337687787368</v>
      </c>
      <c r="P15" s="35">
        <f t="shared" ref="P15:V15" si="4">(P13-O13)/O13</f>
        <v>-2.6756233779570621E-2</v>
      </c>
      <c r="Q15" s="35">
        <f t="shared" si="4"/>
        <v>-6.7607158773684464E-2</v>
      </c>
      <c r="R15" s="35">
        <f t="shared" si="4"/>
        <v>2.1836362314935402E-2</v>
      </c>
      <c r="S15" s="35">
        <f t="shared" si="4"/>
        <v>0.14293497609967545</v>
      </c>
      <c r="T15" s="35">
        <f t="shared" si="4"/>
        <v>-6.870144849758801E-4</v>
      </c>
      <c r="U15" s="35">
        <f t="shared" si="4"/>
        <v>0.12079567858700757</v>
      </c>
      <c r="V15" s="35">
        <f t="shared" si="4"/>
        <v>0.17623625138459256</v>
      </c>
    </row>
    <row r="16" spans="3:22" x14ac:dyDescent="0.25">
      <c r="J16" s="35"/>
      <c r="M16" s="56"/>
      <c r="O16" s="62"/>
      <c r="P16" s="55">
        <f>AVERAGE(L15:N15,P15)</f>
        <v>6.8384766655873869E-2</v>
      </c>
      <c r="Q16" s="55">
        <f>AVERAGE(L15:N15,P15,Q15)</f>
        <v>4.1186381569962204E-2</v>
      </c>
      <c r="R16" s="55">
        <f>AVERAGE(M15:N15,Q15,R15,P15)</f>
        <v>9.8665617363855648E-3</v>
      </c>
      <c r="S16" s="187">
        <f>AVERAGE(P15:S15,N15)</f>
        <v>2.8907298299810001E-2</v>
      </c>
      <c r="T16" s="187">
        <f>AVERAGE(P15:T15)</f>
        <v>1.3944186275275976E-2</v>
      </c>
      <c r="U16" s="187">
        <f>AVERAGE(Q15:U15)</f>
        <v>4.3454568748591618E-2</v>
      </c>
    </row>
    <row r="17" spans="3:21" ht="30" x14ac:dyDescent="0.25">
      <c r="H17" s="191" t="s">
        <v>168</v>
      </c>
      <c r="I17" s="191"/>
      <c r="J17" s="191"/>
      <c r="K17" s="191"/>
      <c r="L17" s="191"/>
      <c r="M17" s="85"/>
      <c r="P17" s="185" t="s">
        <v>106</v>
      </c>
      <c r="Q17" s="185" t="s">
        <v>117</v>
      </c>
      <c r="R17" s="185" t="s">
        <v>187</v>
      </c>
      <c r="S17" s="185" t="s">
        <v>188</v>
      </c>
      <c r="T17" s="185" t="s">
        <v>189</v>
      </c>
      <c r="U17" s="185" t="s">
        <v>191</v>
      </c>
    </row>
    <row r="18" spans="3:21" ht="18.75" x14ac:dyDescent="0.3">
      <c r="D18" s="63" t="s">
        <v>193</v>
      </c>
    </row>
    <row r="19" spans="3:21" x14ac:dyDescent="0.25">
      <c r="E19" s="27">
        <f>R7</f>
        <v>2021</v>
      </c>
      <c r="F19" s="27">
        <f t="shared" ref="F19:M19" si="5">E19+1</f>
        <v>2022</v>
      </c>
      <c r="G19" s="27">
        <f t="shared" si="5"/>
        <v>2023</v>
      </c>
      <c r="H19" s="27">
        <f t="shared" si="5"/>
        <v>2024</v>
      </c>
      <c r="I19" s="192">
        <f t="shared" si="5"/>
        <v>2025</v>
      </c>
      <c r="J19" s="192">
        <f t="shared" si="5"/>
        <v>2026</v>
      </c>
      <c r="K19" s="192">
        <f t="shared" si="5"/>
        <v>2027</v>
      </c>
      <c r="L19" s="192">
        <f t="shared" si="5"/>
        <v>2028</v>
      </c>
      <c r="M19" s="192">
        <f t="shared" si="5"/>
        <v>2029</v>
      </c>
    </row>
    <row r="20" spans="3:21" ht="30" x14ac:dyDescent="0.25">
      <c r="C20" s="88" t="s">
        <v>83</v>
      </c>
      <c r="D20" s="144" t="s">
        <v>118</v>
      </c>
      <c r="E20" s="99">
        <f>R6</f>
        <v>0</v>
      </c>
      <c r="F20" s="99">
        <f>S6</f>
        <v>0</v>
      </c>
      <c r="G20" s="99">
        <f>T6</f>
        <v>0</v>
      </c>
      <c r="H20" s="210" t="s">
        <v>161</v>
      </c>
      <c r="I20" s="193" t="s">
        <v>67</v>
      </c>
      <c r="J20" s="193" t="s">
        <v>67</v>
      </c>
      <c r="K20" s="193" t="s">
        <v>67</v>
      </c>
      <c r="L20" s="193" t="s">
        <v>67</v>
      </c>
      <c r="M20" s="193" t="s">
        <v>67</v>
      </c>
    </row>
    <row r="21" spans="3:21" ht="16.5" customHeight="1" x14ac:dyDescent="0.25">
      <c r="C21" s="89">
        <v>1.0435000000000001</v>
      </c>
      <c r="D21" s="22" t="s">
        <v>26</v>
      </c>
      <c r="E21" s="29">
        <f>R13</f>
        <v>5047421</v>
      </c>
      <c r="F21" s="29">
        <f>S13</f>
        <v>5768874</v>
      </c>
      <c r="G21" s="29">
        <f>T13</f>
        <v>5764910.6999999993</v>
      </c>
      <c r="H21" s="29">
        <f>U13</f>
        <v>6461287</v>
      </c>
      <c r="I21" s="194">
        <f>+H21*C21</f>
        <v>6742352.9845000003</v>
      </c>
      <c r="J21" s="194">
        <f>+I21*C21</f>
        <v>7035645.3393257512</v>
      </c>
      <c r="K21" s="194">
        <f>+J21*C21</f>
        <v>7341695.9115864225</v>
      </c>
      <c r="L21" s="194">
        <f>+K21*C21</f>
        <v>7661059.6837404324</v>
      </c>
      <c r="M21" s="194">
        <f>+L21*C21</f>
        <v>7994315.7799831415</v>
      </c>
    </row>
    <row r="22" spans="3:21" x14ac:dyDescent="0.25">
      <c r="D22" s="64"/>
      <c r="E22" s="58"/>
      <c r="F22" s="58">
        <f>(+F21-E21)/E21</f>
        <v>0.14293497609967545</v>
      </c>
      <c r="G22" s="58">
        <f t="shared" ref="G22:M22" si="6">(+G21-F21)/F21</f>
        <v>-6.870144849758801E-4</v>
      </c>
      <c r="H22" s="211">
        <f t="shared" si="6"/>
        <v>0.12079567858700757</v>
      </c>
      <c r="I22" s="195">
        <f t="shared" si="6"/>
        <v>4.3500000000000039E-2</v>
      </c>
      <c r="J22" s="195">
        <f t="shared" si="6"/>
        <v>4.3500000000000136E-2</v>
      </c>
      <c r="K22" s="195">
        <f t="shared" si="6"/>
        <v>4.3500000000000157E-2</v>
      </c>
      <c r="L22" s="195">
        <f t="shared" si="6"/>
        <v>4.3500000000000073E-2</v>
      </c>
      <c r="M22" s="195">
        <f t="shared" si="6"/>
        <v>4.3500000000000039E-2</v>
      </c>
    </row>
    <row r="23" spans="3:21" x14ac:dyDescent="0.25">
      <c r="J23" s="29"/>
    </row>
    <row r="25" spans="3:21" x14ac:dyDescent="0.25">
      <c r="C25" s="174" t="s">
        <v>141</v>
      </c>
    </row>
    <row r="26" spans="3:21" x14ac:dyDescent="0.25">
      <c r="C26" s="173" t="s">
        <v>140</v>
      </c>
    </row>
    <row r="27" spans="3:21" x14ac:dyDescent="0.25">
      <c r="C27" s="60" t="s">
        <v>142</v>
      </c>
    </row>
  </sheetData>
  <pageMargins left="0.7" right="0.7" top="0.75" bottom="0.75" header="0.3" footer="0.3"/>
  <pageSetup paperSize="17" scale="93" orientation="landscape" r:id="rId1"/>
  <headerFooter>
    <oddFooter>&amp;L&amp;10&amp;D  &amp;T</oddFooter>
  </headerFooter>
  <ignoredErrors>
    <ignoredError sqref="E13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142"/>
  <sheetViews>
    <sheetView zoomScaleNormal="100" workbookViewId="0">
      <selection activeCell="O3" sqref="O3"/>
    </sheetView>
  </sheetViews>
  <sheetFormatPr defaultColWidth="9" defaultRowHeight="12.75" x14ac:dyDescent="0.2"/>
  <cols>
    <col min="1" max="2" width="9" style="38"/>
    <col min="3" max="3" width="4.25" style="38" customWidth="1"/>
    <col min="4" max="4" width="13.375" style="38" customWidth="1"/>
    <col min="5" max="5" width="2" style="38" customWidth="1"/>
    <col min="6" max="6" width="10.125" style="38" customWidth="1"/>
    <col min="7" max="7" width="3.25" style="38" customWidth="1"/>
    <col min="8" max="8" width="12.25" style="38" customWidth="1"/>
    <col min="9" max="9" width="2.25" style="38" customWidth="1"/>
    <col min="10" max="10" width="7.5" style="38" customWidth="1"/>
    <col min="11" max="11" width="2.125" style="38" customWidth="1"/>
    <col min="12" max="12" width="12.375" style="38" bestFit="1" customWidth="1"/>
    <col min="13" max="13" width="10.125" style="38" customWidth="1"/>
    <col min="14" max="14" width="14.125" style="38" customWidth="1"/>
    <col min="15" max="15" width="9.375" style="38" customWidth="1"/>
    <col min="16" max="17" width="9" style="38"/>
    <col min="18" max="18" width="14.625" style="38" bestFit="1" customWidth="1"/>
    <col min="19" max="19" width="14.875" style="38" customWidth="1"/>
    <col min="20" max="20" width="11.625" style="38" customWidth="1"/>
    <col min="21" max="21" width="9.75" style="38" bestFit="1" customWidth="1"/>
    <col min="22" max="24" width="9" style="38"/>
    <col min="25" max="25" width="14.25" style="38" customWidth="1"/>
    <col min="26" max="26" width="9.75" style="38" bestFit="1" customWidth="1"/>
    <col min="27" max="27" width="17" style="38" customWidth="1"/>
    <col min="28" max="28" width="15" style="38" customWidth="1"/>
    <col min="29" max="29" width="13.125" style="38" customWidth="1"/>
    <col min="30" max="31" width="9" style="38"/>
    <col min="32" max="32" width="13.875" style="38" customWidth="1"/>
    <col min="33" max="33" width="18.625" style="38" customWidth="1"/>
    <col min="34" max="34" width="12.125" style="38" customWidth="1"/>
    <col min="35" max="35" width="9.75" style="38" bestFit="1" customWidth="1"/>
    <col min="36" max="16384" width="9" style="38"/>
  </cols>
  <sheetData>
    <row r="1" spans="2:22" x14ac:dyDescent="0.2">
      <c r="N1" s="127" t="s">
        <v>113</v>
      </c>
      <c r="O1" s="128"/>
      <c r="P1" s="129"/>
      <c r="Q1" s="196"/>
      <c r="R1" s="196"/>
      <c r="S1" s="196"/>
      <c r="T1" s="196"/>
      <c r="U1" s="196"/>
      <c r="V1" s="196"/>
    </row>
    <row r="2" spans="2:22" ht="15.75" x14ac:dyDescent="0.25">
      <c r="B2" s="36" t="s">
        <v>11</v>
      </c>
      <c r="C2" s="37"/>
      <c r="D2" s="37"/>
      <c r="E2" s="37"/>
      <c r="F2" s="37"/>
      <c r="G2" s="37"/>
      <c r="H2" s="37"/>
      <c r="I2" s="37"/>
      <c r="J2" s="37"/>
      <c r="K2" s="37"/>
      <c r="L2" s="37"/>
      <c r="N2" s="130" t="s">
        <v>110</v>
      </c>
      <c r="O2" s="131">
        <f>(P2/1)+1</f>
        <v>1.0620000000000001</v>
      </c>
      <c r="P2" s="134">
        <v>6.2E-2</v>
      </c>
      <c r="Q2" s="197"/>
      <c r="R2" s="197"/>
      <c r="S2" s="197"/>
      <c r="T2" s="197"/>
      <c r="U2" s="197"/>
      <c r="V2" s="197"/>
    </row>
    <row r="3" spans="2:22" ht="15.75" x14ac:dyDescent="0.25">
      <c r="B3" s="36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N3" s="130" t="s">
        <v>111</v>
      </c>
      <c r="O3" s="131">
        <f>(P3/1)+1</f>
        <v>1.0145</v>
      </c>
      <c r="P3" s="134">
        <v>1.4500000000000001E-2</v>
      </c>
      <c r="Q3" s="197"/>
      <c r="R3" s="197"/>
      <c r="S3" s="197"/>
      <c r="T3" s="197"/>
      <c r="U3" s="197"/>
      <c r="V3" s="197"/>
    </row>
    <row r="4" spans="2:22" ht="16.5" thickBot="1" x14ac:dyDescent="0.3">
      <c r="B4" s="36" t="s">
        <v>236</v>
      </c>
      <c r="C4" s="37"/>
      <c r="D4" s="37"/>
      <c r="E4" s="37"/>
      <c r="F4" s="37"/>
      <c r="G4" s="37"/>
      <c r="H4" s="37"/>
      <c r="I4" s="37"/>
      <c r="J4" s="37"/>
      <c r="K4" s="37"/>
      <c r="L4" s="37"/>
      <c r="N4" s="132" t="s">
        <v>112</v>
      </c>
      <c r="O4" s="133">
        <f>(1+P4/1)</f>
        <v>1.03</v>
      </c>
      <c r="P4" s="135">
        <v>0.03</v>
      </c>
      <c r="Q4" s="197"/>
      <c r="R4" s="197"/>
      <c r="S4" s="197"/>
      <c r="T4" s="197"/>
      <c r="U4" s="197"/>
      <c r="V4" s="197"/>
    </row>
    <row r="5" spans="2:22" ht="15.75" x14ac:dyDescent="0.25">
      <c r="B5" s="36" t="s">
        <v>237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2:22" ht="12" customHeight="1" x14ac:dyDescent="0.25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2:22" x14ac:dyDescent="0.2">
      <c r="B7" s="39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7"/>
    </row>
    <row r="9" spans="2:22" ht="38.25" x14ac:dyDescent="0.2">
      <c r="B9" s="40" t="s">
        <v>27</v>
      </c>
      <c r="C9" s="40"/>
      <c r="D9" s="40"/>
      <c r="E9" s="40"/>
      <c r="F9" s="40" t="s">
        <v>28</v>
      </c>
      <c r="G9" s="40"/>
      <c r="H9" s="40"/>
      <c r="I9" s="40"/>
      <c r="J9" s="40" t="s">
        <v>29</v>
      </c>
      <c r="L9" s="124" t="s">
        <v>109</v>
      </c>
    </row>
    <row r="10" spans="2:22" ht="51" x14ac:dyDescent="0.2">
      <c r="B10" s="41" t="s">
        <v>30</v>
      </c>
      <c r="C10" s="40"/>
      <c r="D10" s="47" t="s">
        <v>50</v>
      </c>
      <c r="E10" s="40"/>
      <c r="F10" s="41" t="s">
        <v>32</v>
      </c>
      <c r="G10" s="40"/>
      <c r="H10" s="41" t="s">
        <v>11</v>
      </c>
      <c r="I10" s="40"/>
      <c r="J10" s="41" t="s">
        <v>31</v>
      </c>
      <c r="L10" s="41" t="s">
        <v>32</v>
      </c>
    </row>
    <row r="11" spans="2:22" x14ac:dyDescent="0.2">
      <c r="D11" s="42"/>
      <c r="E11" s="42"/>
      <c r="F11" s="43"/>
      <c r="G11" s="42"/>
      <c r="H11" s="42"/>
      <c r="I11" s="42"/>
      <c r="L11" s="43"/>
    </row>
    <row r="12" spans="2:22" x14ac:dyDescent="0.2">
      <c r="B12" s="38">
        <v>2011</v>
      </c>
      <c r="D12" s="42">
        <v>112074471.74000002</v>
      </c>
      <c r="E12" s="42"/>
      <c r="F12" s="43"/>
      <c r="G12" s="42"/>
      <c r="H12" s="42">
        <v>8487215.5700000003</v>
      </c>
      <c r="I12" s="42"/>
      <c r="J12" s="43">
        <f>H12/D12</f>
        <v>7.5728356674206521E-2</v>
      </c>
      <c r="L12" s="43"/>
    </row>
    <row r="13" spans="2:22" x14ac:dyDescent="0.2">
      <c r="D13" s="42"/>
      <c r="E13" s="42"/>
      <c r="F13" s="43"/>
      <c r="G13" s="42"/>
      <c r="H13" s="42"/>
      <c r="I13" s="42"/>
      <c r="L13" s="43"/>
    </row>
    <row r="14" spans="2:22" x14ac:dyDescent="0.2">
      <c r="B14" s="38">
        <v>2012</v>
      </c>
      <c r="D14" s="42">
        <v>112264537.86</v>
      </c>
      <c r="E14" s="42"/>
      <c r="F14" s="43">
        <f>(D14-D12)/D12</f>
        <v>1.6958912859380382E-3</v>
      </c>
      <c r="G14" s="42"/>
      <c r="H14" s="42">
        <v>6300083.1299999999</v>
      </c>
      <c r="I14" s="42"/>
      <c r="J14" s="43">
        <f>H14/D14</f>
        <v>5.6118194134077738E-2</v>
      </c>
      <c r="L14" s="43">
        <f>(H14-H12)/H12</f>
        <v>-0.25769728858200786</v>
      </c>
    </row>
    <row r="15" spans="2:22" ht="15" customHeight="1" x14ac:dyDescent="0.2">
      <c r="D15" s="42"/>
      <c r="E15" s="42"/>
      <c r="F15" s="43"/>
      <c r="G15" s="42"/>
      <c r="H15" s="42"/>
      <c r="I15" s="42"/>
      <c r="J15" s="43"/>
      <c r="L15" s="43"/>
    </row>
    <row r="16" spans="2:22" x14ac:dyDescent="0.2">
      <c r="B16" s="38">
        <v>2013</v>
      </c>
      <c r="D16" s="42">
        <v>116704860.57999998</v>
      </c>
      <c r="E16" s="42"/>
      <c r="F16" s="43">
        <f>(D16-D14)/D14</f>
        <v>3.9552318164239084E-2</v>
      </c>
      <c r="G16" s="42"/>
      <c r="H16" s="42">
        <v>8540082.3000000007</v>
      </c>
      <c r="I16" s="42"/>
      <c r="J16" s="43">
        <f>H16/D16</f>
        <v>7.3176749087891346E-2</v>
      </c>
      <c r="L16" s="43">
        <f>(H16-H14)/H14</f>
        <v>0.35555073223295719</v>
      </c>
    </row>
    <row r="17" spans="2:22" x14ac:dyDescent="0.2">
      <c r="D17" s="42"/>
      <c r="E17" s="42"/>
      <c r="F17" s="43"/>
      <c r="G17" s="42"/>
      <c r="H17" s="42"/>
      <c r="I17" s="42"/>
      <c r="L17" s="43"/>
    </row>
    <row r="18" spans="2:22" x14ac:dyDescent="0.2">
      <c r="B18" s="38">
        <v>2014</v>
      </c>
      <c r="D18" s="42">
        <v>121801466.96999998</v>
      </c>
      <c r="E18" s="42"/>
      <c r="F18" s="43">
        <f>(D18-D16)/D16</f>
        <v>4.3670900806280721E-2</v>
      </c>
      <c r="G18" s="42"/>
      <c r="H18" s="42">
        <v>8868132.9299999997</v>
      </c>
      <c r="I18" s="42"/>
      <c r="J18" s="43">
        <f>H18/D18</f>
        <v>7.2808096245542298E-2</v>
      </c>
      <c r="L18" s="43">
        <f>(H18-H16)/H16</f>
        <v>3.8413052529950316E-2</v>
      </c>
    </row>
    <row r="19" spans="2:22" x14ac:dyDescent="0.2">
      <c r="D19" s="42"/>
      <c r="E19" s="42"/>
      <c r="F19" s="43"/>
      <c r="G19" s="42"/>
      <c r="H19" s="42"/>
      <c r="I19" s="42"/>
      <c r="L19" s="43"/>
    </row>
    <row r="20" spans="2:22" x14ac:dyDescent="0.2">
      <c r="B20" s="38">
        <v>2015</v>
      </c>
      <c r="D20" s="42">
        <v>132397232</v>
      </c>
      <c r="E20" s="42"/>
      <c r="F20" s="43">
        <f>(D20-D18)/D18</f>
        <v>8.6992097004954638E-2</v>
      </c>
      <c r="G20" s="42"/>
      <c r="H20" s="42">
        <v>9641769</v>
      </c>
      <c r="I20" s="42"/>
      <c r="J20" s="43">
        <f>H20/D20</f>
        <v>7.2824551196055215E-2</v>
      </c>
      <c r="L20" s="43">
        <f>(H20-H18)/H18</f>
        <v>8.7237762007701475E-2</v>
      </c>
    </row>
    <row r="21" spans="2:22" x14ac:dyDescent="0.2">
      <c r="D21" s="42"/>
      <c r="E21" s="42"/>
      <c r="F21" s="43"/>
      <c r="G21" s="42"/>
      <c r="H21" s="42"/>
      <c r="I21" s="42"/>
      <c r="L21" s="43"/>
    </row>
    <row r="22" spans="2:22" x14ac:dyDescent="0.2">
      <c r="B22" s="38">
        <v>2016</v>
      </c>
      <c r="D22" s="42">
        <v>132816480</v>
      </c>
      <c r="E22" s="42"/>
      <c r="F22" s="43">
        <f>(D22-D20)/D20</f>
        <v>3.1665918816187939E-3</v>
      </c>
      <c r="G22" s="42"/>
      <c r="H22" s="42">
        <v>9737723</v>
      </c>
      <c r="I22" s="42"/>
      <c r="J22" s="43">
        <f>H22/D22</f>
        <v>7.3317129018928978E-2</v>
      </c>
      <c r="L22" s="43">
        <f>(H22-H20)/H20</f>
        <v>9.9519082027374854E-3</v>
      </c>
    </row>
    <row r="23" spans="2:22" x14ac:dyDescent="0.2">
      <c r="D23" s="42"/>
      <c r="E23" s="42"/>
      <c r="F23" s="43"/>
      <c r="G23" s="42"/>
      <c r="H23" s="42"/>
      <c r="I23" s="42"/>
      <c r="L23" s="43"/>
    </row>
    <row r="24" spans="2:22" x14ac:dyDescent="0.2">
      <c r="B24" s="38">
        <f>B22+1</f>
        <v>2017</v>
      </c>
      <c r="D24" s="42">
        <f>140639897+351696</f>
        <v>140991593</v>
      </c>
      <c r="E24" s="42"/>
      <c r="F24" s="43">
        <f>(D24-D22)/D22</f>
        <v>6.1551947469169491E-2</v>
      </c>
      <c r="G24" s="42"/>
      <c r="H24" s="42">
        <v>9975319</v>
      </c>
      <c r="I24" s="42"/>
      <c r="J24" s="43">
        <f>H24/D24</f>
        <v>7.0751161737707291E-2</v>
      </c>
      <c r="L24" s="43">
        <f>(H24-H22)/H22</f>
        <v>2.4399543918018615E-2</v>
      </c>
    </row>
    <row r="25" spans="2:22" x14ac:dyDescent="0.2">
      <c r="D25" s="42"/>
      <c r="E25" s="42"/>
      <c r="F25" s="43"/>
      <c r="G25" s="42"/>
      <c r="H25" s="42"/>
      <c r="I25" s="42"/>
    </row>
    <row r="26" spans="2:22" x14ac:dyDescent="0.2">
      <c r="B26" s="38">
        <v>2018</v>
      </c>
      <c r="D26" s="42">
        <v>149674700</v>
      </c>
      <c r="E26" s="42"/>
      <c r="F26" s="43">
        <f>(D26-D24)/D24</f>
        <v>6.1585991159061521E-2</v>
      </c>
      <c r="G26" s="42"/>
      <c r="H26" s="116">
        <v>11092581</v>
      </c>
      <c r="I26" s="42"/>
      <c r="J26" s="43">
        <f>H26/D26</f>
        <v>7.4111262624879159E-2</v>
      </c>
      <c r="L26" s="43">
        <f>(H26-H24)/H24</f>
        <v>0.11200263370023555</v>
      </c>
    </row>
    <row r="27" spans="2:22" x14ac:dyDescent="0.2">
      <c r="D27" s="42"/>
      <c r="E27" s="42"/>
      <c r="F27" s="43"/>
      <c r="G27" s="42"/>
      <c r="H27" s="42"/>
      <c r="I27" s="42"/>
    </row>
    <row r="28" spans="2:22" x14ac:dyDescent="0.2">
      <c r="B28" s="38">
        <f>B26+1</f>
        <v>2019</v>
      </c>
      <c r="D28" s="116">
        <v>154033550</v>
      </c>
      <c r="E28" s="79"/>
      <c r="F28" s="43">
        <f>(D28-D26)/D26</f>
        <v>2.9122156249519793E-2</v>
      </c>
      <c r="G28" s="79"/>
      <c r="H28" s="116">
        <v>10786455</v>
      </c>
      <c r="I28" s="42"/>
      <c r="J28" s="43">
        <f>H28/D28</f>
        <v>7.0026659776392872E-2</v>
      </c>
      <c r="L28" s="43">
        <f>(H28-H26)/H26</f>
        <v>-2.7597364400584499E-2</v>
      </c>
      <c r="M28" s="65"/>
    </row>
    <row r="29" spans="2:22" x14ac:dyDescent="0.2">
      <c r="D29" s="81"/>
      <c r="E29" s="81"/>
      <c r="F29" s="82"/>
      <c r="G29" s="81"/>
      <c r="H29" s="81"/>
      <c r="I29" s="42"/>
    </row>
    <row r="30" spans="2:22" x14ac:dyDescent="0.2">
      <c r="B30" s="38">
        <f>B28+1</f>
        <v>2020</v>
      </c>
      <c r="D30" s="42">
        <v>169105357</v>
      </c>
      <c r="E30" s="81"/>
      <c r="F30" s="43">
        <f>(D30-D28)/D28</f>
        <v>9.7847559833555739E-2</v>
      </c>
      <c r="G30" s="81"/>
      <c r="H30" s="116">
        <v>12279130</v>
      </c>
      <c r="I30" s="42"/>
      <c r="J30" s="43">
        <f>H30/D30</f>
        <v>7.2612306421493203E-2</v>
      </c>
      <c r="L30" s="43">
        <f>(H30-H28)/H28</f>
        <v>0.13838420500525891</v>
      </c>
      <c r="M30" s="65"/>
      <c r="P30" s="114"/>
      <c r="Q30" s="114"/>
      <c r="R30" s="114"/>
      <c r="S30" s="114"/>
      <c r="T30" s="114"/>
      <c r="U30" s="114"/>
      <c r="V30" s="114"/>
    </row>
    <row r="31" spans="2:22" x14ac:dyDescent="0.2">
      <c r="D31" s="81"/>
      <c r="E31" s="81"/>
      <c r="F31" s="82"/>
      <c r="G31" s="81"/>
      <c r="H31" s="81"/>
      <c r="I31" s="42"/>
      <c r="J31" s="80"/>
      <c r="P31" s="114"/>
      <c r="Q31" s="114"/>
      <c r="R31" s="114"/>
      <c r="S31" s="114"/>
      <c r="T31" s="114"/>
      <c r="U31" s="114"/>
      <c r="V31" s="114"/>
    </row>
    <row r="32" spans="2:22" x14ac:dyDescent="0.2">
      <c r="B32" s="38">
        <f>B30+1</f>
        <v>2021</v>
      </c>
      <c r="D32" s="42">
        <v>162657773</v>
      </c>
      <c r="E32" s="81"/>
      <c r="F32" s="43">
        <f>(D32-D30)/D30</f>
        <v>-3.8127615318537783E-2</v>
      </c>
      <c r="G32" s="81"/>
      <c r="H32" s="116">
        <v>12099265</v>
      </c>
      <c r="I32" s="42"/>
      <c r="J32" s="43">
        <f>H32/D32</f>
        <v>7.4384794386678346E-2</v>
      </c>
      <c r="L32" s="43">
        <f>(H32-H30)/H30</f>
        <v>-1.4648024737908955E-2</v>
      </c>
    </row>
    <row r="33" spans="2:15" x14ac:dyDescent="0.2">
      <c r="D33" s="79"/>
      <c r="E33" s="81"/>
      <c r="F33" s="82"/>
      <c r="G33" s="81"/>
      <c r="H33" s="81"/>
      <c r="I33" s="42"/>
      <c r="J33" s="80"/>
    </row>
    <row r="34" spans="2:15" ht="14.25" customHeight="1" x14ac:dyDescent="0.2">
      <c r="B34" s="38">
        <f>B32+1</f>
        <v>2022</v>
      </c>
      <c r="D34" s="42">
        <f>U71</f>
        <v>172676264</v>
      </c>
      <c r="E34" s="81"/>
      <c r="F34" s="43">
        <f>(D34-D32)/D32</f>
        <v>6.1592451533195404E-2</v>
      </c>
      <c r="G34" s="81"/>
      <c r="H34" s="42">
        <f>Water!P13+Water!P10</f>
        <v>12856308</v>
      </c>
      <c r="I34" s="42"/>
      <c r="J34" s="43">
        <f>H34/D34</f>
        <v>7.4453243903863944E-2</v>
      </c>
      <c r="L34" s="43">
        <f>(H34-H32)/H32</f>
        <v>6.2569337889532964E-2</v>
      </c>
      <c r="M34" s="43"/>
      <c r="N34" s="340"/>
      <c r="O34" s="340"/>
    </row>
    <row r="35" spans="2:15" x14ac:dyDescent="0.2">
      <c r="D35" s="83"/>
      <c r="E35" s="83"/>
      <c r="F35" s="84"/>
      <c r="G35" s="83"/>
      <c r="H35" s="83"/>
      <c r="I35" s="44"/>
      <c r="J35" s="80"/>
      <c r="M35" s="37"/>
      <c r="N35" s="37"/>
      <c r="O35" s="37"/>
    </row>
    <row r="36" spans="2:15" x14ac:dyDescent="0.2">
      <c r="B36" s="38">
        <f>B34+1</f>
        <v>2023</v>
      </c>
      <c r="D36" s="42">
        <f>R97</f>
        <v>176895372</v>
      </c>
      <c r="E36" s="83"/>
      <c r="F36" s="43">
        <f>(D36-D34)/D34</f>
        <v>2.4433630322231201E-2</v>
      </c>
      <c r="G36" s="83"/>
      <c r="H36" s="42">
        <f>Water!Q10+Water!Q13</f>
        <v>13179577.84</v>
      </c>
      <c r="I36" s="44"/>
      <c r="J36" s="43">
        <f>H36/D36</f>
        <v>7.4504933006387525E-2</v>
      </c>
      <c r="K36" s="37"/>
      <c r="L36" s="43">
        <f>(H36-H34)/H34</f>
        <v>2.5144842516218485E-2</v>
      </c>
    </row>
    <row r="37" spans="2:15" x14ac:dyDescent="0.2">
      <c r="D37" s="42"/>
      <c r="E37" s="83"/>
      <c r="F37" s="80"/>
      <c r="G37" s="83"/>
      <c r="H37" s="42"/>
      <c r="I37" s="44"/>
      <c r="J37" s="80"/>
      <c r="K37" s="37"/>
      <c r="L37" s="37"/>
    </row>
    <row r="38" spans="2:15" x14ac:dyDescent="0.2">
      <c r="B38" s="38">
        <f>B36+1</f>
        <v>2024</v>
      </c>
      <c r="D38" s="42">
        <f>R122</f>
        <v>189761621</v>
      </c>
      <c r="E38" s="83"/>
      <c r="F38" s="43">
        <f>(D38-D36)/D36</f>
        <v>7.2733666542729003E-2</v>
      </c>
      <c r="G38" s="83"/>
      <c r="H38" s="42">
        <f>Water!R10+Water!R13</f>
        <v>14231358</v>
      </c>
      <c r="I38" s="44"/>
      <c r="J38" s="43">
        <f>H38/D38</f>
        <v>7.4995976135764572E-2</v>
      </c>
      <c r="K38" s="37"/>
      <c r="L38" s="43">
        <f>(H38-H36)/H36</f>
        <v>7.9803782243149615E-2</v>
      </c>
      <c r="M38" s="43"/>
      <c r="N38" s="43"/>
      <c r="O38" s="126"/>
    </row>
    <row r="39" spans="2:15" x14ac:dyDescent="0.2">
      <c r="D39" s="79"/>
      <c r="E39" s="83"/>
      <c r="F39" s="80"/>
      <c r="G39" s="83"/>
      <c r="H39" s="79"/>
      <c r="I39" s="44"/>
      <c r="J39" s="80"/>
      <c r="K39" s="37"/>
      <c r="L39" s="37"/>
      <c r="M39" s="37"/>
      <c r="N39" s="37"/>
      <c r="O39" s="37"/>
    </row>
    <row r="40" spans="2:15" x14ac:dyDescent="0.2">
      <c r="B40" s="38">
        <f>B38+1</f>
        <v>2025</v>
      </c>
      <c r="D40" s="79">
        <f>D38*Salary_Growth</f>
        <v>195454469.63</v>
      </c>
      <c r="E40" s="83"/>
      <c r="F40" s="80">
        <v>0.03</v>
      </c>
      <c r="G40" s="83"/>
      <c r="H40" s="79">
        <f>(D40*SocSec)+(D40*Medicare)</f>
        <v>405861206.18669498</v>
      </c>
      <c r="I40" s="44"/>
      <c r="J40" s="80">
        <f>H40/D40</f>
        <v>2.0764999999999998</v>
      </c>
      <c r="K40" s="37"/>
      <c r="L40" s="43">
        <f>(H40-H38)/H38</f>
        <v>27.518796743550052</v>
      </c>
    </row>
    <row r="41" spans="2:15" x14ac:dyDescent="0.2">
      <c r="D41" s="79"/>
      <c r="E41" s="83"/>
      <c r="F41" s="80"/>
      <c r="G41" s="83"/>
      <c r="H41" s="79"/>
      <c r="I41" s="44"/>
      <c r="J41" s="80"/>
      <c r="K41" s="37"/>
      <c r="L41" s="43"/>
    </row>
    <row r="42" spans="2:15" x14ac:dyDescent="0.2">
      <c r="B42" s="38">
        <f>B40+1</f>
        <v>2026</v>
      </c>
      <c r="D42" s="79">
        <f>D40*Salary_Growth</f>
        <v>201318103.7189</v>
      </c>
      <c r="E42" s="83"/>
      <c r="F42" s="80">
        <v>0.03</v>
      </c>
      <c r="G42" s="83"/>
      <c r="H42" s="79">
        <f>(D42*SocSec)+(D42*Medicare)</f>
        <v>418037042.37229586</v>
      </c>
      <c r="I42" s="44"/>
      <c r="J42" s="80">
        <f>H42/D42</f>
        <v>2.0765000000000002</v>
      </c>
      <c r="K42" s="37"/>
      <c r="L42" s="43">
        <f>(H42-H40)/H40</f>
        <v>3.0000000000000068E-2</v>
      </c>
    </row>
    <row r="43" spans="2:15" x14ac:dyDescent="0.2">
      <c r="D43" s="79"/>
      <c r="E43" s="83"/>
      <c r="F43" s="80"/>
      <c r="G43" s="83"/>
      <c r="H43" s="79"/>
      <c r="I43" s="44"/>
      <c r="J43" s="80"/>
      <c r="K43" s="37"/>
      <c r="L43" s="43"/>
    </row>
    <row r="44" spans="2:15" x14ac:dyDescent="0.2">
      <c r="B44" s="38">
        <f>B42+1</f>
        <v>2027</v>
      </c>
      <c r="D44" s="79">
        <f>D42*Salary_Growth</f>
        <v>207357646.83046699</v>
      </c>
      <c r="E44" s="83"/>
      <c r="F44" s="80">
        <v>0.03</v>
      </c>
      <c r="G44" s="83"/>
      <c r="H44" s="79">
        <f>(D44*SocSec)+(D44*Medicare)</f>
        <v>430578153.64346468</v>
      </c>
      <c r="I44" s="44"/>
      <c r="J44" s="80">
        <f>H44/D44</f>
        <v>2.0764999999999998</v>
      </c>
      <c r="K44" s="37"/>
      <c r="L44" s="43">
        <f>(H44-H42)/H42</f>
        <v>2.9999999999999884E-2</v>
      </c>
    </row>
    <row r="45" spans="2:15" x14ac:dyDescent="0.2">
      <c r="D45" s="79"/>
      <c r="E45" s="83"/>
      <c r="F45" s="80"/>
      <c r="G45" s="83"/>
      <c r="H45" s="79"/>
      <c r="I45" s="44"/>
      <c r="J45" s="80"/>
      <c r="K45" s="37"/>
      <c r="L45" s="43"/>
    </row>
    <row r="46" spans="2:15" x14ac:dyDescent="0.2">
      <c r="B46" s="38">
        <f>B44+1</f>
        <v>2028</v>
      </c>
      <c r="D46" s="79">
        <f>D44*Salary_Growth</f>
        <v>213578376.23538101</v>
      </c>
      <c r="E46" s="83"/>
      <c r="F46" s="80">
        <v>0.03</v>
      </c>
      <c r="G46" s="83"/>
      <c r="H46" s="79">
        <f>(D46*SocSec)+(D46*Medicare)</f>
        <v>443495498.25276864</v>
      </c>
      <c r="I46" s="44"/>
      <c r="J46" s="80">
        <f>H46/D46</f>
        <v>2.0764999999999998</v>
      </c>
      <c r="K46" s="37"/>
      <c r="L46" s="43">
        <f>(H46-H44)/H44</f>
        <v>3.0000000000000027E-2</v>
      </c>
    </row>
    <row r="47" spans="2:15" x14ac:dyDescent="0.2">
      <c r="D47" s="79"/>
      <c r="E47" s="83"/>
      <c r="F47" s="80"/>
      <c r="G47" s="83"/>
      <c r="H47" s="79"/>
      <c r="I47" s="44"/>
      <c r="J47" s="80"/>
      <c r="K47" s="37"/>
      <c r="L47" s="43"/>
    </row>
    <row r="48" spans="2:15" x14ac:dyDescent="0.2">
      <c r="B48" s="38">
        <f>B46+1</f>
        <v>2029</v>
      </c>
      <c r="D48" s="79">
        <f>D46*Salary_Growth</f>
        <v>219985727.52244243</v>
      </c>
      <c r="E48" s="83"/>
      <c r="F48" s="80">
        <v>0.03</v>
      </c>
      <c r="G48" s="83"/>
      <c r="H48" s="79">
        <f>(D48*SocSec)+(D48*Medicare)</f>
        <v>456800363.20035172</v>
      </c>
      <c r="I48" s="44"/>
      <c r="J48" s="80">
        <f>H48/D48</f>
        <v>2.0765000000000002</v>
      </c>
      <c r="K48" s="37"/>
      <c r="L48" s="43">
        <f>(H48-H46)/H46</f>
        <v>3.0000000000000044E-2</v>
      </c>
    </row>
    <row r="49" spans="1:34" x14ac:dyDescent="0.2">
      <c r="B49" s="39"/>
      <c r="C49" s="37"/>
      <c r="D49" s="44"/>
      <c r="E49" s="44"/>
      <c r="G49" s="44"/>
      <c r="H49" s="44"/>
      <c r="I49" s="44"/>
      <c r="J49" s="37"/>
      <c r="K49" s="37"/>
      <c r="L49" s="37"/>
    </row>
    <row r="50" spans="1:34" x14ac:dyDescent="0.2">
      <c r="D50" s="45" t="s">
        <v>80</v>
      </c>
    </row>
    <row r="51" spans="1:34" x14ac:dyDescent="0.2">
      <c r="B51" s="48"/>
      <c r="D51" s="46"/>
    </row>
    <row r="52" spans="1:34" x14ac:dyDescent="0.2">
      <c r="B52" s="40" t="s">
        <v>27</v>
      </c>
      <c r="D52" s="40" t="s">
        <v>33</v>
      </c>
      <c r="F52" s="40" t="s">
        <v>28</v>
      </c>
      <c r="L52" s="40"/>
    </row>
    <row r="53" spans="1:34" x14ac:dyDescent="0.2">
      <c r="B53" s="41" t="s">
        <v>30</v>
      </c>
      <c r="D53" s="41" t="s">
        <v>31</v>
      </c>
      <c r="F53" s="41" t="s">
        <v>32</v>
      </c>
      <c r="H53" s="45" t="s">
        <v>34</v>
      </c>
      <c r="J53" s="45"/>
      <c r="L53" s="40"/>
    </row>
    <row r="54" spans="1:34" x14ac:dyDescent="0.2">
      <c r="B54" s="38">
        <v>2017</v>
      </c>
      <c r="D54" s="42">
        <f>D24</f>
        <v>140991593</v>
      </c>
      <c r="F54" s="43">
        <f>(+D54-D22)/D22</f>
        <v>6.1551947469169491E-2</v>
      </c>
      <c r="H54" s="42">
        <f>H24</f>
        <v>9975319</v>
      </c>
      <c r="J54" s="200"/>
      <c r="L54" s="43"/>
    </row>
    <row r="55" spans="1:34" x14ac:dyDescent="0.2">
      <c r="B55" s="38">
        <v>2018</v>
      </c>
      <c r="D55" s="42">
        <f>D26</f>
        <v>149674700</v>
      </c>
      <c r="F55" s="43">
        <f t="shared" ref="F55:F60" si="0">(D55-D54)/D54</f>
        <v>6.1585991159061521E-2</v>
      </c>
      <c r="H55" s="42">
        <f>H26</f>
        <v>11092581</v>
      </c>
      <c r="J55" s="200"/>
      <c r="L55" s="43"/>
    </row>
    <row r="56" spans="1:34" x14ac:dyDescent="0.2">
      <c r="B56" s="38">
        <v>2019</v>
      </c>
      <c r="D56" s="116">
        <f>D28</f>
        <v>154033550</v>
      </c>
      <c r="F56" s="43">
        <f t="shared" si="0"/>
        <v>2.9122156249519793E-2</v>
      </c>
      <c r="H56" s="42">
        <f>H28</f>
        <v>10786455</v>
      </c>
      <c r="J56" s="200"/>
      <c r="L56" s="43"/>
    </row>
    <row r="57" spans="1:34" x14ac:dyDescent="0.2">
      <c r="B57" s="38">
        <v>2020</v>
      </c>
      <c r="D57" s="116">
        <f>D30</f>
        <v>169105357</v>
      </c>
      <c r="F57" s="43">
        <f t="shared" si="0"/>
        <v>9.7847559833555739E-2</v>
      </c>
      <c r="H57" s="42">
        <f>H30</f>
        <v>12279130</v>
      </c>
      <c r="J57" s="200"/>
      <c r="L57" s="43"/>
      <c r="M57" s="65"/>
    </row>
    <row r="58" spans="1:34" x14ac:dyDescent="0.2">
      <c r="B58" s="38">
        <v>2021</v>
      </c>
      <c r="D58" s="116">
        <f>D32</f>
        <v>162657773</v>
      </c>
      <c r="F58" s="43">
        <f t="shared" si="0"/>
        <v>-3.8127615318537783E-2</v>
      </c>
      <c r="H58" s="42">
        <f>IF((+J32*D58)&lt;H57,H57,(J32*D58))</f>
        <v>12279130</v>
      </c>
      <c r="J58" s="200"/>
      <c r="L58" s="43"/>
      <c r="M58" s="201"/>
      <c r="N58" s="202"/>
      <c r="O58" s="202"/>
    </row>
    <row r="59" spans="1:34" x14ac:dyDescent="0.2">
      <c r="B59" s="38">
        <v>2022</v>
      </c>
      <c r="D59" s="116">
        <f>D34</f>
        <v>172676264</v>
      </c>
      <c r="F59" s="43">
        <f t="shared" si="0"/>
        <v>6.1592451533195404E-2</v>
      </c>
      <c r="H59" s="42">
        <f>IF((+J34*D59)&lt;H58,H58,(J34*D59))</f>
        <v>12856308.000000002</v>
      </c>
      <c r="J59" s="43"/>
      <c r="L59" s="43"/>
      <c r="M59" s="65"/>
    </row>
    <row r="60" spans="1:34" x14ac:dyDescent="0.2">
      <c r="A60" s="38" t="s">
        <v>47</v>
      </c>
      <c r="B60" s="38">
        <f>B59+1</f>
        <v>2023</v>
      </c>
      <c r="D60" s="79">
        <f>D36</f>
        <v>176895372</v>
      </c>
      <c r="F60" s="43">
        <f t="shared" si="0"/>
        <v>2.4433630322231201E-2</v>
      </c>
      <c r="H60" s="79">
        <f>IF((+J36*D60)&lt;H59,H59,(J36*D60))</f>
        <v>13179577.84</v>
      </c>
      <c r="J60" s="43"/>
      <c r="L60" s="43"/>
      <c r="M60" s="65"/>
      <c r="AB60" s="148"/>
      <c r="AC60" s="149"/>
      <c r="AD60" s="149"/>
      <c r="AE60" s="149"/>
      <c r="AF60" s="149"/>
      <c r="AG60" s="149"/>
      <c r="AH60" s="148"/>
    </row>
    <row r="61" spans="1:34" x14ac:dyDescent="0.2">
      <c r="A61" s="38" t="s">
        <v>71</v>
      </c>
      <c r="B61" s="38">
        <f>B60+1</f>
        <v>2024</v>
      </c>
      <c r="D61" s="79">
        <f>D38</f>
        <v>189761621</v>
      </c>
      <c r="F61" s="43">
        <f t="shared" ref="F61" si="1">(D61-D60)/D60</f>
        <v>7.2733666542729003E-2</v>
      </c>
      <c r="H61" s="79">
        <f>IF((+J38*D61)&lt;H60,H60,(J38*D61))</f>
        <v>14231358.000000002</v>
      </c>
      <c r="J61" s="43"/>
      <c r="L61" s="43"/>
    </row>
    <row r="62" spans="1:34" x14ac:dyDescent="0.2">
      <c r="A62" s="38" t="s">
        <v>108</v>
      </c>
      <c r="B62" s="38">
        <f>B61+1</f>
        <v>2025</v>
      </c>
      <c r="D62" s="79">
        <f>D40</f>
        <v>195454469.63</v>
      </c>
      <c r="F62" s="43">
        <f t="shared" ref="F62" si="2">(D62-D61)/D61</f>
        <v>2.9999999999999975E-2</v>
      </c>
      <c r="H62" s="79">
        <f>IF((+J40*D62)&lt;H61,H61,(J40*D62))</f>
        <v>405861206.18669492</v>
      </c>
      <c r="J62" s="43"/>
      <c r="L62" s="43"/>
      <c r="AB62" s="150"/>
    </row>
    <row r="63" spans="1:34" x14ac:dyDescent="0.2">
      <c r="A63" s="38" t="s">
        <v>137</v>
      </c>
      <c r="B63" s="38">
        <f>B62+1</f>
        <v>2026</v>
      </c>
      <c r="D63" s="79">
        <f>D42</f>
        <v>201318103.7189</v>
      </c>
      <c r="F63" s="43">
        <f t="shared" ref="F63" si="3">(D63-D62)/D62</f>
        <v>0.03</v>
      </c>
      <c r="H63" s="79">
        <f>IF((+J41*D63)&lt;H62,H62,(J41*D63))</f>
        <v>405861206.18669492</v>
      </c>
      <c r="J63" s="43"/>
      <c r="L63" s="43"/>
      <c r="AB63" s="150"/>
    </row>
    <row r="64" spans="1:34" x14ac:dyDescent="0.2">
      <c r="A64" s="38" t="s">
        <v>139</v>
      </c>
      <c r="B64" s="38">
        <f>B63+1</f>
        <v>2027</v>
      </c>
      <c r="D64" s="79">
        <f>D44</f>
        <v>207357646.83046699</v>
      </c>
      <c r="F64" s="43">
        <f t="shared" ref="F64" si="4">(D64-D63)/D63</f>
        <v>2.9999999999999954E-2</v>
      </c>
      <c r="H64" s="79">
        <f>IF((+J42*D64)&lt;H63,H63,(J42*D64))</f>
        <v>430578153.64346474</v>
      </c>
      <c r="J64" s="43"/>
      <c r="L64" s="43"/>
      <c r="AB64" s="150"/>
    </row>
    <row r="66" spans="2:40" ht="19.5" customHeight="1" x14ac:dyDescent="0.25">
      <c r="B66" s="68" t="s">
        <v>114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</row>
    <row r="67" spans="2:40" ht="8.25" customHeight="1" x14ac:dyDescent="0.2">
      <c r="B67" s="67"/>
    </row>
    <row r="68" spans="2:40" x14ac:dyDescent="0.2">
      <c r="B68" s="339" t="s">
        <v>51</v>
      </c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Q68" s="38" t="s">
        <v>171</v>
      </c>
      <c r="X68" s="38" t="s">
        <v>155</v>
      </c>
    </row>
    <row r="69" spans="2:40" ht="32.25" customHeight="1" x14ac:dyDescent="0.2"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X69" s="38" t="s">
        <v>153</v>
      </c>
      <c r="AC69" s="65" t="s">
        <v>138</v>
      </c>
      <c r="AJ69" s="38" t="s">
        <v>123</v>
      </c>
    </row>
    <row r="70" spans="2:40" x14ac:dyDescent="0.2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Q70" s="38" t="s">
        <v>87</v>
      </c>
      <c r="S70" s="38" t="s">
        <v>89</v>
      </c>
      <c r="T70" s="115" t="s">
        <v>90</v>
      </c>
      <c r="X70" s="38" t="s">
        <v>87</v>
      </c>
      <c r="Y70" s="38" t="s">
        <v>88</v>
      </c>
      <c r="Z70" s="38" t="s">
        <v>89</v>
      </c>
      <c r="AA70" s="115" t="s">
        <v>90</v>
      </c>
      <c r="AD70" s="38" t="s">
        <v>87</v>
      </c>
      <c r="AE70" s="38" t="s">
        <v>88</v>
      </c>
      <c r="AF70" s="38" t="s">
        <v>89</v>
      </c>
      <c r="AG70" s="115" t="s">
        <v>90</v>
      </c>
      <c r="AK70" s="38" t="s">
        <v>87</v>
      </c>
      <c r="AL70" s="38" t="s">
        <v>88</v>
      </c>
      <c r="AM70" s="38" t="s">
        <v>89</v>
      </c>
      <c r="AN70" s="115" t="s">
        <v>90</v>
      </c>
    </row>
    <row r="71" spans="2:40" x14ac:dyDescent="0.2">
      <c r="B71" s="65" t="s">
        <v>124</v>
      </c>
      <c r="U71" s="114">
        <f>SUM(T72:T90)</f>
        <v>172676264</v>
      </c>
      <c r="W71" s="38">
        <v>32020</v>
      </c>
      <c r="X71" s="38">
        <v>100</v>
      </c>
      <c r="Y71" s="38" t="s">
        <v>91</v>
      </c>
      <c r="Z71" s="114"/>
      <c r="AB71" s="125">
        <f>SUM(AA71:AA91)</f>
        <v>162657773</v>
      </c>
      <c r="AH71" s="148">
        <f>SUM(AG72:AG91)</f>
        <v>169105357</v>
      </c>
      <c r="AJ71" s="38">
        <v>32020</v>
      </c>
      <c r="AK71" s="38">
        <v>100</v>
      </c>
      <c r="AL71" s="38" t="s">
        <v>91</v>
      </c>
      <c r="AM71" s="114"/>
      <c r="AN71" s="114">
        <v>656398</v>
      </c>
    </row>
    <row r="72" spans="2:40" x14ac:dyDescent="0.2">
      <c r="B72" s="65"/>
      <c r="P72" s="38">
        <v>32020</v>
      </c>
      <c r="Q72" s="38">
        <v>101</v>
      </c>
      <c r="S72" s="114"/>
      <c r="T72" s="114">
        <v>132974979</v>
      </c>
      <c r="W72" s="38">
        <v>32020</v>
      </c>
      <c r="X72" s="38">
        <v>101</v>
      </c>
      <c r="Y72" s="38" t="s">
        <v>92</v>
      </c>
      <c r="Z72" s="114"/>
      <c r="AA72" s="114">
        <v>126142278</v>
      </c>
      <c r="AB72" s="114"/>
      <c r="AC72" s="38">
        <v>32020</v>
      </c>
      <c r="AD72" s="38">
        <v>101</v>
      </c>
      <c r="AE72" s="38" t="s">
        <v>92</v>
      </c>
      <c r="AF72" s="114"/>
      <c r="AG72" s="114">
        <v>128818502</v>
      </c>
      <c r="AJ72" s="38">
        <v>32020</v>
      </c>
      <c r="AK72" s="38">
        <v>101</v>
      </c>
      <c r="AL72" s="38" t="s">
        <v>92</v>
      </c>
      <c r="AM72" s="114"/>
      <c r="AN72" s="114">
        <v>116134221</v>
      </c>
    </row>
    <row r="73" spans="2:40" x14ac:dyDescent="0.2">
      <c r="B73" s="65"/>
      <c r="P73" s="38">
        <v>32020</v>
      </c>
      <c r="Q73" s="38">
        <v>103</v>
      </c>
      <c r="S73" s="114"/>
      <c r="T73" s="114">
        <v>1854524</v>
      </c>
      <c r="W73" s="38">
        <v>32020</v>
      </c>
      <c r="X73" s="38">
        <v>103</v>
      </c>
      <c r="Y73" s="38" t="s">
        <v>94</v>
      </c>
      <c r="Z73" s="114"/>
      <c r="AA73" s="114">
        <v>1315500</v>
      </c>
      <c r="AB73" s="114"/>
      <c r="AC73" s="38">
        <v>32020</v>
      </c>
      <c r="AD73" s="38">
        <v>103</v>
      </c>
      <c r="AE73" s="38" t="s">
        <v>94</v>
      </c>
      <c r="AF73" s="114"/>
      <c r="AG73" s="114">
        <v>1553326</v>
      </c>
      <c r="AJ73" s="38">
        <v>32020</v>
      </c>
      <c r="AK73" s="38">
        <v>102</v>
      </c>
      <c r="AL73" s="38" t="s">
        <v>93</v>
      </c>
      <c r="AN73" s="114">
        <v>296568</v>
      </c>
    </row>
    <row r="74" spans="2:40" x14ac:dyDescent="0.2">
      <c r="B74" s="65"/>
      <c r="P74" s="38">
        <v>32020</v>
      </c>
      <c r="Q74" s="38">
        <v>105</v>
      </c>
      <c r="T74" s="114">
        <v>2011340</v>
      </c>
      <c r="W74" s="38">
        <v>32020</v>
      </c>
      <c r="X74" s="38">
        <v>105</v>
      </c>
      <c r="Y74" s="38" t="s">
        <v>92</v>
      </c>
      <c r="AA74" s="114">
        <v>1947411</v>
      </c>
      <c r="AB74" s="114"/>
      <c r="AC74" s="38">
        <v>32020</v>
      </c>
      <c r="AD74" s="38">
        <v>105</v>
      </c>
      <c r="AE74" s="38" t="s">
        <v>92</v>
      </c>
      <c r="AF74" s="114"/>
      <c r="AG74" s="114">
        <v>1750403</v>
      </c>
      <c r="AJ74" s="38">
        <v>32020</v>
      </c>
      <c r="AK74" s="38">
        <v>103</v>
      </c>
      <c r="AL74" s="38" t="s">
        <v>94</v>
      </c>
      <c r="AN74" s="114">
        <v>159478</v>
      </c>
    </row>
    <row r="75" spans="2:40" x14ac:dyDescent="0.2">
      <c r="P75" s="38">
        <v>32020</v>
      </c>
      <c r="Q75" s="38">
        <v>109</v>
      </c>
      <c r="S75" s="114"/>
      <c r="T75" s="114">
        <v>4365</v>
      </c>
      <c r="W75" s="38">
        <v>32020</v>
      </c>
      <c r="X75" s="38">
        <v>109</v>
      </c>
      <c r="Y75" s="38" t="s">
        <v>95</v>
      </c>
      <c r="Z75" s="114"/>
      <c r="AA75" s="114">
        <v>14178</v>
      </c>
      <c r="AB75" s="114"/>
      <c r="AC75" s="38">
        <v>32020</v>
      </c>
      <c r="AD75" s="38">
        <v>109</v>
      </c>
      <c r="AE75" s="38" t="s">
        <v>95</v>
      </c>
      <c r="AF75" s="114"/>
      <c r="AG75" s="114">
        <v>143264</v>
      </c>
      <c r="AJ75" s="38">
        <v>32020</v>
      </c>
      <c r="AK75" s="38">
        <v>105</v>
      </c>
      <c r="AL75" s="38" t="s">
        <v>92</v>
      </c>
      <c r="AN75" s="114">
        <v>15370</v>
      </c>
    </row>
    <row r="76" spans="2:40" x14ac:dyDescent="0.2">
      <c r="P76" s="38">
        <v>32020</v>
      </c>
      <c r="Q76" s="38">
        <v>111</v>
      </c>
      <c r="S76" s="114"/>
      <c r="W76" s="38">
        <v>32020</v>
      </c>
      <c r="X76" s="38">
        <v>111</v>
      </c>
      <c r="Y76" s="38" t="s">
        <v>96</v>
      </c>
      <c r="Z76" s="114"/>
      <c r="AA76" s="114">
        <v>7789</v>
      </c>
      <c r="AB76" s="114"/>
      <c r="AC76" s="38">
        <v>32020</v>
      </c>
      <c r="AD76" s="38">
        <v>111</v>
      </c>
      <c r="AE76" s="38" t="s">
        <v>96</v>
      </c>
      <c r="AF76" s="114"/>
      <c r="AG76" s="114">
        <v>38150</v>
      </c>
      <c r="AJ76" s="38">
        <v>32020</v>
      </c>
      <c r="AK76" s="38">
        <v>109</v>
      </c>
      <c r="AL76" s="38" t="s">
        <v>95</v>
      </c>
      <c r="AM76" s="114"/>
      <c r="AN76" s="114">
        <v>533726</v>
      </c>
    </row>
    <row r="77" spans="2:40" x14ac:dyDescent="0.2">
      <c r="P77" s="38">
        <v>32020</v>
      </c>
      <c r="Q77" s="38">
        <v>121</v>
      </c>
      <c r="S77" s="114"/>
      <c r="T77" s="114">
        <v>1028442</v>
      </c>
      <c r="W77" s="38">
        <v>32020</v>
      </c>
      <c r="X77" s="38">
        <v>121</v>
      </c>
      <c r="Y77" s="38" t="s">
        <v>97</v>
      </c>
      <c r="Z77" s="114"/>
      <c r="AA77" s="114">
        <v>580385</v>
      </c>
      <c r="AB77" s="114"/>
      <c r="AC77" s="38">
        <v>32020</v>
      </c>
      <c r="AD77" s="38">
        <v>121</v>
      </c>
      <c r="AE77" s="38" t="s">
        <v>97</v>
      </c>
      <c r="AF77" s="114"/>
      <c r="AG77" s="114">
        <v>2541012</v>
      </c>
      <c r="AJ77" s="38">
        <v>32020</v>
      </c>
      <c r="AK77" s="38">
        <v>111</v>
      </c>
      <c r="AL77" s="38" t="s">
        <v>96</v>
      </c>
      <c r="AM77" s="114"/>
      <c r="AN77" s="114">
        <v>23995</v>
      </c>
    </row>
    <row r="78" spans="2:40" x14ac:dyDescent="0.2">
      <c r="P78" s="38">
        <v>32020</v>
      </c>
      <c r="Q78" s="38">
        <v>141</v>
      </c>
      <c r="T78" s="38">
        <v>0</v>
      </c>
      <c r="W78" s="38">
        <v>32020</v>
      </c>
      <c r="X78" s="38">
        <v>141</v>
      </c>
      <c r="Y78" s="38" t="s">
        <v>122</v>
      </c>
      <c r="AA78" s="114">
        <v>5504</v>
      </c>
      <c r="AB78" s="114"/>
      <c r="AG78" s="114"/>
      <c r="AJ78" s="38">
        <v>32020</v>
      </c>
      <c r="AK78" s="38">
        <v>121</v>
      </c>
      <c r="AL78" s="38" t="s">
        <v>97</v>
      </c>
      <c r="AM78" s="114"/>
      <c r="AN78" s="114">
        <v>1775344</v>
      </c>
    </row>
    <row r="79" spans="2:40" x14ac:dyDescent="0.2">
      <c r="B79" s="65"/>
      <c r="P79" s="38">
        <v>32020</v>
      </c>
      <c r="Q79" s="38">
        <v>151</v>
      </c>
      <c r="T79" s="38">
        <v>806</v>
      </c>
      <c r="W79" s="38">
        <v>32020</v>
      </c>
      <c r="X79" s="38">
        <v>151</v>
      </c>
      <c r="Y79" s="38" t="s">
        <v>154</v>
      </c>
      <c r="AA79" s="38">
        <v>865</v>
      </c>
      <c r="AB79" s="114"/>
      <c r="AJ79" s="38">
        <v>32020</v>
      </c>
      <c r="AK79" s="38">
        <v>152</v>
      </c>
      <c r="AL79" s="38" t="s">
        <v>98</v>
      </c>
      <c r="AN79" s="114">
        <v>25631</v>
      </c>
    </row>
    <row r="80" spans="2:40" x14ac:dyDescent="0.2">
      <c r="P80" s="38">
        <v>32020</v>
      </c>
      <c r="Q80" s="38">
        <v>161</v>
      </c>
      <c r="S80" s="114"/>
      <c r="T80" s="114">
        <v>18744261</v>
      </c>
      <c r="W80" s="38">
        <v>32020</v>
      </c>
      <c r="X80" s="38">
        <v>161</v>
      </c>
      <c r="Y80" s="38" t="s">
        <v>99</v>
      </c>
      <c r="Z80" s="114"/>
      <c r="AA80" s="114">
        <v>15717928</v>
      </c>
      <c r="AB80" s="114"/>
      <c r="AC80" s="38">
        <v>32020</v>
      </c>
      <c r="AD80" s="38">
        <v>161</v>
      </c>
      <c r="AE80" s="38" t="s">
        <v>99</v>
      </c>
      <c r="AF80" s="114"/>
      <c r="AG80" s="114">
        <v>17787119</v>
      </c>
      <c r="AJ80" s="38">
        <v>32020</v>
      </c>
      <c r="AK80" s="38">
        <v>161</v>
      </c>
      <c r="AL80" s="38" t="s">
        <v>99</v>
      </c>
      <c r="AM80" s="114"/>
      <c r="AN80" s="114">
        <v>16136263</v>
      </c>
    </row>
    <row r="81" spans="16:40" x14ac:dyDescent="0.2">
      <c r="P81" s="38">
        <v>32020</v>
      </c>
      <c r="Q81" s="38">
        <v>162</v>
      </c>
      <c r="S81" s="114"/>
      <c r="T81" s="114">
        <v>100526</v>
      </c>
      <c r="W81" s="38">
        <v>32020</v>
      </c>
      <c r="X81" s="38">
        <v>162</v>
      </c>
      <c r="Y81" s="38" t="s">
        <v>100</v>
      </c>
      <c r="Z81" s="114"/>
      <c r="AA81" s="114">
        <v>76088</v>
      </c>
      <c r="AB81" s="114"/>
      <c r="AC81" s="38">
        <v>32020</v>
      </c>
      <c r="AD81" s="38">
        <v>162</v>
      </c>
      <c r="AE81" s="38" t="s">
        <v>100</v>
      </c>
      <c r="AF81" s="114"/>
      <c r="AG81" s="114">
        <v>42000</v>
      </c>
      <c r="AJ81" s="38">
        <v>32020</v>
      </c>
      <c r="AK81" s="38">
        <v>162</v>
      </c>
      <c r="AL81" s="38" t="s">
        <v>100</v>
      </c>
      <c r="AM81" s="114"/>
      <c r="AN81" s="114">
        <v>34215</v>
      </c>
    </row>
    <row r="82" spans="16:40" x14ac:dyDescent="0.2">
      <c r="P82" s="38">
        <v>32020</v>
      </c>
      <c r="Q82" s="38">
        <v>165</v>
      </c>
      <c r="T82" s="114">
        <v>4932</v>
      </c>
      <c r="W82" s="38">
        <v>32020</v>
      </c>
      <c r="X82" s="38">
        <v>165</v>
      </c>
      <c r="Y82" s="38" t="s">
        <v>100</v>
      </c>
      <c r="AA82" s="38">
        <v>0</v>
      </c>
      <c r="AC82" s="38">
        <v>32020</v>
      </c>
      <c r="AD82" s="38">
        <v>165</v>
      </c>
      <c r="AE82" s="38" t="s">
        <v>100</v>
      </c>
      <c r="AG82" s="38">
        <v>0</v>
      </c>
      <c r="AJ82" s="38">
        <v>32020</v>
      </c>
      <c r="AK82" s="38">
        <v>165</v>
      </c>
      <c r="AL82" s="38" t="s">
        <v>100</v>
      </c>
    </row>
    <row r="83" spans="16:40" x14ac:dyDescent="0.2">
      <c r="P83" s="38">
        <v>32020</v>
      </c>
      <c r="Q83" s="38">
        <v>171</v>
      </c>
      <c r="S83" s="114"/>
      <c r="T83" s="38">
        <v>0</v>
      </c>
      <c r="W83" s="38">
        <v>32020</v>
      </c>
      <c r="X83" s="38">
        <v>171</v>
      </c>
      <c r="Y83" s="38" t="s">
        <v>101</v>
      </c>
      <c r="Z83" s="114"/>
      <c r="AB83" s="114"/>
      <c r="AC83" s="38">
        <v>32020</v>
      </c>
      <c r="AD83" s="38">
        <v>171</v>
      </c>
      <c r="AE83" s="38" t="s">
        <v>101</v>
      </c>
      <c r="AF83" s="114"/>
      <c r="AG83" s="114">
        <v>552959</v>
      </c>
      <c r="AJ83" s="38">
        <v>32020</v>
      </c>
      <c r="AK83" s="38">
        <v>171</v>
      </c>
      <c r="AL83" s="38" t="s">
        <v>101</v>
      </c>
      <c r="AM83" s="114"/>
      <c r="AN83" s="114">
        <v>368085</v>
      </c>
    </row>
    <row r="84" spans="16:40" x14ac:dyDescent="0.2">
      <c r="P84" s="38">
        <v>32020</v>
      </c>
      <c r="Q84" s="38">
        <v>181</v>
      </c>
      <c r="S84" s="114"/>
      <c r="T84" s="114">
        <v>138876</v>
      </c>
      <c r="W84" s="38">
        <v>32020</v>
      </c>
      <c r="X84" s="38">
        <v>181</v>
      </c>
      <c r="Y84" s="38" t="s">
        <v>102</v>
      </c>
      <c r="Z84" s="114"/>
      <c r="AA84" s="114">
        <v>150248</v>
      </c>
      <c r="AB84" s="114"/>
      <c r="AC84" s="38">
        <v>32020</v>
      </c>
      <c r="AD84" s="38">
        <v>181</v>
      </c>
      <c r="AE84" s="38" t="s">
        <v>102</v>
      </c>
      <c r="AF84" s="114"/>
      <c r="AG84" s="114">
        <v>316436</v>
      </c>
      <c r="AJ84" s="38">
        <v>32020</v>
      </c>
      <c r="AK84" s="38">
        <v>172</v>
      </c>
      <c r="AL84" s="38" t="s">
        <v>101</v>
      </c>
      <c r="AN84" s="38">
        <v>410</v>
      </c>
    </row>
    <row r="85" spans="16:40" x14ac:dyDescent="0.2">
      <c r="P85" s="38">
        <v>32020</v>
      </c>
      <c r="Q85" s="38">
        <v>199</v>
      </c>
      <c r="T85" s="114">
        <v>1434159</v>
      </c>
      <c r="W85" s="38">
        <v>32020</v>
      </c>
      <c r="X85" s="38">
        <v>199</v>
      </c>
      <c r="Y85" s="38" t="s">
        <v>103</v>
      </c>
      <c r="AA85" s="114">
        <v>1406111</v>
      </c>
      <c r="AB85" s="114"/>
      <c r="AC85" s="38">
        <v>32020</v>
      </c>
      <c r="AD85" s="38">
        <v>199</v>
      </c>
      <c r="AE85" s="38" t="s">
        <v>103</v>
      </c>
      <c r="AG85" s="114">
        <v>1221210</v>
      </c>
      <c r="AJ85" s="38">
        <v>32020</v>
      </c>
      <c r="AK85" s="38">
        <v>199</v>
      </c>
      <c r="AL85" s="38" t="s">
        <v>103</v>
      </c>
    </row>
    <row r="86" spans="16:40" x14ac:dyDescent="0.2">
      <c r="P86" s="38">
        <v>32270</v>
      </c>
      <c r="Q86" s="38">
        <v>101</v>
      </c>
      <c r="S86" s="114"/>
      <c r="T86" s="114">
        <v>13802871</v>
      </c>
      <c r="W86" s="38">
        <v>32020</v>
      </c>
      <c r="X86" s="38">
        <v>101</v>
      </c>
      <c r="Y86" s="38" t="s">
        <v>92</v>
      </c>
      <c r="Z86" s="114"/>
      <c r="AA86" s="114">
        <v>14516218</v>
      </c>
      <c r="AB86" s="114"/>
      <c r="AC86" s="38">
        <v>32270</v>
      </c>
      <c r="AD86" s="38">
        <v>101</v>
      </c>
      <c r="AE86" s="38" t="s">
        <v>92</v>
      </c>
      <c r="AF86" s="114"/>
      <c r="AG86" s="114">
        <v>13665453</v>
      </c>
      <c r="AJ86" s="38">
        <v>32020</v>
      </c>
      <c r="AK86" s="38">
        <v>181</v>
      </c>
      <c r="AL86" s="38" t="s">
        <v>102</v>
      </c>
      <c r="AM86" s="114"/>
      <c r="AN86" s="114">
        <v>234860</v>
      </c>
    </row>
    <row r="87" spans="16:40" x14ac:dyDescent="0.2">
      <c r="P87" s="38">
        <v>32270</v>
      </c>
      <c r="Q87" s="38">
        <v>103</v>
      </c>
      <c r="S87" s="114"/>
      <c r="T87" s="114">
        <v>96774</v>
      </c>
      <c r="W87" s="38">
        <v>32270</v>
      </c>
      <c r="X87" s="38">
        <v>103</v>
      </c>
      <c r="Y87" s="38" t="s">
        <v>94</v>
      </c>
      <c r="AA87" s="114">
        <v>182719</v>
      </c>
      <c r="AB87" s="114"/>
      <c r="AC87" s="38">
        <v>32270</v>
      </c>
      <c r="AD87" s="38">
        <v>103</v>
      </c>
      <c r="AE87" s="38" t="s">
        <v>94</v>
      </c>
      <c r="AG87" s="114">
        <v>54455</v>
      </c>
      <c r="AJ87" s="38">
        <v>32020</v>
      </c>
      <c r="AK87" s="38">
        <v>199</v>
      </c>
      <c r="AL87" s="38" t="s">
        <v>103</v>
      </c>
      <c r="AM87" s="114"/>
      <c r="AN87" s="114">
        <v>882408</v>
      </c>
    </row>
    <row r="88" spans="16:40" x14ac:dyDescent="0.2">
      <c r="P88" s="38">
        <v>32270</v>
      </c>
      <c r="Q88" s="38">
        <v>109</v>
      </c>
      <c r="S88" s="114"/>
      <c r="T88" s="114">
        <v>-941</v>
      </c>
      <c r="W88" s="38">
        <v>32270</v>
      </c>
      <c r="X88" s="38">
        <v>105</v>
      </c>
      <c r="Y88" s="38" t="s">
        <v>92</v>
      </c>
      <c r="AA88" s="38">
        <v>160</v>
      </c>
      <c r="AB88" s="114"/>
      <c r="AC88" s="38">
        <v>32270</v>
      </c>
      <c r="AD88" s="38">
        <v>109</v>
      </c>
      <c r="AE88" s="38" t="s">
        <v>95</v>
      </c>
      <c r="AG88" s="114">
        <v>9811</v>
      </c>
      <c r="AJ88" s="38">
        <v>32270</v>
      </c>
      <c r="AK88" s="38">
        <v>100</v>
      </c>
      <c r="AL88" s="38" t="s">
        <v>91</v>
      </c>
      <c r="AM88" s="114"/>
    </row>
    <row r="89" spans="16:40" x14ac:dyDescent="0.2">
      <c r="P89" s="38">
        <v>32270</v>
      </c>
      <c r="Q89" s="38">
        <v>161</v>
      </c>
      <c r="S89" s="114"/>
      <c r="T89" s="114">
        <v>480324</v>
      </c>
      <c r="W89" s="38">
        <v>32270</v>
      </c>
      <c r="X89" s="38">
        <v>109</v>
      </c>
      <c r="Y89" s="38" t="s">
        <v>95</v>
      </c>
      <c r="AA89" s="114">
        <v>-3647</v>
      </c>
      <c r="AB89" s="114"/>
      <c r="AC89" s="38">
        <v>32270</v>
      </c>
      <c r="AD89" s="38">
        <v>141</v>
      </c>
      <c r="AE89" s="38" t="s">
        <v>122</v>
      </c>
      <c r="AG89" s="38">
        <v>-144</v>
      </c>
      <c r="AJ89" s="38">
        <v>32270</v>
      </c>
      <c r="AK89" s="38">
        <v>101</v>
      </c>
      <c r="AL89" s="38" t="s">
        <v>104</v>
      </c>
      <c r="AN89" s="114">
        <v>15773130</v>
      </c>
    </row>
    <row r="90" spans="16:40" x14ac:dyDescent="0.2">
      <c r="P90" s="38">
        <v>32270</v>
      </c>
      <c r="Q90" s="38">
        <v>181</v>
      </c>
      <c r="S90" s="114"/>
      <c r="T90" s="114">
        <v>26</v>
      </c>
      <c r="W90" s="38">
        <v>32270</v>
      </c>
      <c r="X90" s="38">
        <v>161</v>
      </c>
      <c r="Y90" s="38" t="s">
        <v>99</v>
      </c>
      <c r="AA90" s="114">
        <v>583687</v>
      </c>
      <c r="AB90" s="114"/>
      <c r="AC90" s="38">
        <v>32270</v>
      </c>
      <c r="AD90" s="38">
        <v>161</v>
      </c>
      <c r="AE90" s="38" t="s">
        <v>99</v>
      </c>
      <c r="AG90" s="114">
        <v>590682</v>
      </c>
      <c r="AJ90" s="38">
        <v>32270</v>
      </c>
      <c r="AK90" s="38">
        <v>109</v>
      </c>
      <c r="AL90" s="38" t="s">
        <v>95</v>
      </c>
      <c r="AN90" s="114">
        <v>123277</v>
      </c>
    </row>
    <row r="91" spans="16:40" x14ac:dyDescent="0.2">
      <c r="W91" s="38">
        <v>32270</v>
      </c>
      <c r="X91" s="38">
        <v>199</v>
      </c>
      <c r="Y91" s="38" t="s">
        <v>103</v>
      </c>
      <c r="AA91" s="114">
        <v>14351</v>
      </c>
      <c r="AB91" s="114"/>
      <c r="AC91" s="38">
        <v>32270</v>
      </c>
      <c r="AD91" s="38">
        <v>199</v>
      </c>
      <c r="AE91" s="38" t="s">
        <v>103</v>
      </c>
      <c r="AG91" s="114">
        <v>20719</v>
      </c>
      <c r="AJ91" s="38">
        <v>32270</v>
      </c>
      <c r="AK91" s="38">
        <v>121</v>
      </c>
      <c r="AL91" s="38" t="s">
        <v>97</v>
      </c>
      <c r="AN91" s="114">
        <v>209499</v>
      </c>
    </row>
    <row r="92" spans="16:40" x14ac:dyDescent="0.2">
      <c r="S92" s="114"/>
      <c r="T92" s="114"/>
      <c r="W92" s="38">
        <v>32270</v>
      </c>
      <c r="AJ92" s="38">
        <v>32270</v>
      </c>
      <c r="AK92" s="38">
        <v>161</v>
      </c>
      <c r="AL92" s="38" t="s">
        <v>99</v>
      </c>
      <c r="AN92" s="114">
        <v>583864</v>
      </c>
    </row>
    <row r="93" spans="16:40" x14ac:dyDescent="0.2">
      <c r="S93" s="114"/>
      <c r="T93" s="114"/>
      <c r="AJ93" s="38">
        <v>32270</v>
      </c>
      <c r="AK93" s="38">
        <v>162</v>
      </c>
      <c r="AL93" s="38" t="s">
        <v>100</v>
      </c>
      <c r="AN93" s="38">
        <v>21</v>
      </c>
    </row>
    <row r="94" spans="16:40" x14ac:dyDescent="0.2">
      <c r="S94" s="114"/>
      <c r="T94" s="114"/>
      <c r="AJ94" s="38">
        <v>32270</v>
      </c>
      <c r="AK94" s="38">
        <v>171</v>
      </c>
      <c r="AL94" s="38" t="s">
        <v>101</v>
      </c>
      <c r="AN94" s="114">
        <v>62736</v>
      </c>
    </row>
    <row r="95" spans="16:40" x14ac:dyDescent="0.2">
      <c r="S95" s="114"/>
      <c r="T95" s="114"/>
      <c r="AJ95" s="38">
        <v>32270</v>
      </c>
      <c r="AK95" s="38">
        <v>181</v>
      </c>
      <c r="AL95" s="38" t="s">
        <v>102</v>
      </c>
      <c r="AN95" s="114">
        <v>3771</v>
      </c>
    </row>
    <row r="96" spans="16:40" x14ac:dyDescent="0.2">
      <c r="P96" s="38" t="s">
        <v>234</v>
      </c>
      <c r="S96" s="114"/>
      <c r="AJ96" s="38">
        <v>32270</v>
      </c>
      <c r="AK96" s="38">
        <v>199</v>
      </c>
      <c r="AL96" s="38" t="s">
        <v>103</v>
      </c>
      <c r="AN96" s="38">
        <v>280</v>
      </c>
    </row>
    <row r="97" spans="16:33" x14ac:dyDescent="0.2">
      <c r="Q97" s="38" t="s">
        <v>87</v>
      </c>
      <c r="R97" s="38">
        <f>SUM(R99:Y117)</f>
        <v>176895372</v>
      </c>
      <c r="S97" s="114"/>
    </row>
    <row r="98" spans="16:33" x14ac:dyDescent="0.2">
      <c r="R98" s="38">
        <v>10</v>
      </c>
      <c r="S98" s="38">
        <v>28</v>
      </c>
      <c r="T98" s="38">
        <v>4</v>
      </c>
      <c r="U98" s="38">
        <v>67</v>
      </c>
      <c r="V98" s="38">
        <v>25</v>
      </c>
      <c r="W98" s="38">
        <v>36</v>
      </c>
      <c r="X98" s="38">
        <v>44</v>
      </c>
      <c r="Y98" s="38">
        <v>38</v>
      </c>
    </row>
    <row r="99" spans="16:33" x14ac:dyDescent="0.2">
      <c r="P99" s="38">
        <v>32020</v>
      </c>
      <c r="Q99" s="38">
        <v>101</v>
      </c>
      <c r="R99" s="38">
        <v>0</v>
      </c>
      <c r="S99" s="38">
        <v>114257286</v>
      </c>
      <c r="T99" s="38">
        <v>7821536</v>
      </c>
      <c r="U99" s="38">
        <v>37187</v>
      </c>
      <c r="V99" s="38">
        <v>2202758</v>
      </c>
      <c r="W99" s="38">
        <v>8826396</v>
      </c>
      <c r="X99" s="38">
        <v>3168468</v>
      </c>
      <c r="Y99" s="38">
        <v>83862</v>
      </c>
      <c r="AF99" s="114"/>
      <c r="AG99" s="114"/>
    </row>
    <row r="100" spans="16:33" x14ac:dyDescent="0.2">
      <c r="P100" s="38">
        <v>32020</v>
      </c>
      <c r="Q100" s="38">
        <v>103</v>
      </c>
      <c r="S100" s="38">
        <v>1189645</v>
      </c>
      <c r="T100" s="38">
        <v>64563</v>
      </c>
      <c r="V100" s="38">
        <v>27069</v>
      </c>
      <c r="W100" s="38">
        <v>74200</v>
      </c>
      <c r="X100" s="38">
        <v>151358</v>
      </c>
      <c r="AF100" s="114"/>
      <c r="AG100" s="114"/>
    </row>
    <row r="101" spans="16:33" x14ac:dyDescent="0.2">
      <c r="P101" s="38">
        <v>32020</v>
      </c>
      <c r="Q101" s="38">
        <v>105</v>
      </c>
      <c r="S101" s="38">
        <v>2111224</v>
      </c>
      <c r="W101" s="38">
        <v>227</v>
      </c>
      <c r="AF101" s="114"/>
      <c r="AG101" s="114"/>
    </row>
    <row r="102" spans="16:33" x14ac:dyDescent="0.2">
      <c r="P102" s="38">
        <v>32020</v>
      </c>
      <c r="Q102" s="38">
        <v>109</v>
      </c>
      <c r="S102" s="38">
        <v>-23086</v>
      </c>
      <c r="W102" s="38">
        <v>1569</v>
      </c>
      <c r="X102" s="38">
        <v>-303</v>
      </c>
      <c r="AF102" s="114"/>
      <c r="AG102" s="114"/>
    </row>
    <row r="103" spans="16:33" x14ac:dyDescent="0.2">
      <c r="P103" s="38">
        <v>32020</v>
      </c>
      <c r="Q103" s="38">
        <v>111</v>
      </c>
      <c r="AF103" s="114"/>
      <c r="AG103" s="114"/>
    </row>
    <row r="104" spans="16:33" x14ac:dyDescent="0.2">
      <c r="P104" s="38">
        <v>32020</v>
      </c>
      <c r="Q104" s="38">
        <v>121</v>
      </c>
      <c r="S104" s="38">
        <v>1331673</v>
      </c>
      <c r="V104" s="38">
        <v>15893</v>
      </c>
      <c r="W104" s="38">
        <v>186772</v>
      </c>
      <c r="AF104" s="114"/>
      <c r="AG104" s="114"/>
    </row>
    <row r="105" spans="16:33" x14ac:dyDescent="0.2">
      <c r="P105" s="38">
        <v>32020</v>
      </c>
      <c r="Q105" s="38">
        <v>141</v>
      </c>
      <c r="AF105" s="114"/>
      <c r="AG105" s="114"/>
    </row>
    <row r="106" spans="16:33" x14ac:dyDescent="0.2">
      <c r="P106" s="38">
        <v>32020</v>
      </c>
      <c r="Q106" s="38">
        <v>151</v>
      </c>
      <c r="S106" s="38">
        <v>893</v>
      </c>
      <c r="AF106" s="114"/>
      <c r="AG106" s="114"/>
    </row>
    <row r="107" spans="16:33" x14ac:dyDescent="0.2">
      <c r="P107" s="38">
        <v>32020</v>
      </c>
      <c r="Q107" s="38">
        <v>161</v>
      </c>
      <c r="S107" s="38">
        <v>20784911</v>
      </c>
      <c r="T107" s="38">
        <v>82517</v>
      </c>
      <c r="V107" s="38">
        <v>488085</v>
      </c>
      <c r="W107" s="38">
        <v>164077</v>
      </c>
      <c r="AF107" s="114"/>
      <c r="AG107" s="114"/>
    </row>
    <row r="108" spans="16:33" x14ac:dyDescent="0.2">
      <c r="P108" s="38">
        <v>32020</v>
      </c>
      <c r="Q108" s="38">
        <v>162</v>
      </c>
      <c r="S108" s="38">
        <v>103765</v>
      </c>
      <c r="T108" s="38">
        <v>288</v>
      </c>
      <c r="V108" s="38">
        <v>1383</v>
      </c>
      <c r="W108" s="38">
        <v>31</v>
      </c>
      <c r="AF108" s="114"/>
      <c r="AG108" s="114"/>
    </row>
    <row r="109" spans="16:33" x14ac:dyDescent="0.2">
      <c r="P109" s="38">
        <v>32020</v>
      </c>
      <c r="Q109" s="38">
        <v>165</v>
      </c>
      <c r="S109" s="38">
        <v>13576</v>
      </c>
      <c r="W109" s="38">
        <v>7</v>
      </c>
      <c r="AF109" s="114"/>
      <c r="AG109" s="114"/>
    </row>
    <row r="110" spans="16:33" x14ac:dyDescent="0.2">
      <c r="P110" s="38">
        <v>32020</v>
      </c>
      <c r="Q110" s="38">
        <v>171</v>
      </c>
      <c r="AF110" s="114"/>
      <c r="AG110" s="114"/>
    </row>
    <row r="111" spans="16:33" x14ac:dyDescent="0.2">
      <c r="P111" s="38">
        <v>32020</v>
      </c>
      <c r="Q111" s="38">
        <v>181</v>
      </c>
      <c r="S111" s="38">
        <v>130930</v>
      </c>
      <c r="T111" s="38">
        <v>1343</v>
      </c>
      <c r="V111" s="38">
        <v>7645</v>
      </c>
      <c r="W111" s="38">
        <v>23</v>
      </c>
      <c r="AF111" s="114"/>
      <c r="AG111" s="114"/>
    </row>
    <row r="112" spans="16:33" x14ac:dyDescent="0.2">
      <c r="P112" s="38">
        <v>32020</v>
      </c>
      <c r="Q112" s="38">
        <v>199</v>
      </c>
      <c r="S112" s="38">
        <v>1128959</v>
      </c>
      <c r="V112" s="38">
        <v>7628</v>
      </c>
      <c r="W112" s="38">
        <v>1727</v>
      </c>
      <c r="AG112" s="114"/>
    </row>
    <row r="113" spans="16:33" x14ac:dyDescent="0.2">
      <c r="P113" s="38">
        <v>32270</v>
      </c>
      <c r="Q113" s="38">
        <v>101</v>
      </c>
      <c r="S113" s="38">
        <v>11904851</v>
      </c>
      <c r="AG113" s="114"/>
    </row>
    <row r="114" spans="16:33" x14ac:dyDescent="0.2">
      <c r="P114" s="38">
        <v>32270</v>
      </c>
      <c r="Q114" s="38">
        <v>103</v>
      </c>
      <c r="S114" s="38">
        <v>22689</v>
      </c>
      <c r="AF114" s="114"/>
    </row>
    <row r="115" spans="16:33" x14ac:dyDescent="0.2">
      <c r="P115" s="38">
        <v>32270</v>
      </c>
      <c r="Q115" s="38">
        <v>109</v>
      </c>
      <c r="S115" s="38">
        <v>3004</v>
      </c>
      <c r="AF115" s="114"/>
      <c r="AG115" s="114"/>
    </row>
    <row r="116" spans="16:33" x14ac:dyDescent="0.2">
      <c r="P116" s="38">
        <v>32270</v>
      </c>
      <c r="Q116" s="38">
        <v>161</v>
      </c>
      <c r="S116" s="38">
        <v>518743</v>
      </c>
      <c r="AG116" s="114"/>
    </row>
    <row r="117" spans="16:33" x14ac:dyDescent="0.2">
      <c r="P117" s="38">
        <v>32270</v>
      </c>
      <c r="Q117" s="38">
        <v>181</v>
      </c>
      <c r="AG117" s="114"/>
    </row>
    <row r="119" spans="16:33" x14ac:dyDescent="0.2">
      <c r="AG119" s="114"/>
    </row>
    <row r="120" spans="16:33" x14ac:dyDescent="0.2">
      <c r="AG120" s="114"/>
    </row>
    <row r="121" spans="16:33" x14ac:dyDescent="0.2">
      <c r="P121" s="38" t="s">
        <v>235</v>
      </c>
      <c r="S121" s="114"/>
    </row>
    <row r="122" spans="16:33" x14ac:dyDescent="0.2">
      <c r="Q122" s="38" t="s">
        <v>87</v>
      </c>
      <c r="R122" s="38">
        <f>SUM(R124:Y143)</f>
        <v>189761621</v>
      </c>
      <c r="S122" s="114"/>
    </row>
    <row r="123" spans="16:33" x14ac:dyDescent="0.2">
      <c r="R123" s="38">
        <v>10</v>
      </c>
      <c r="S123" s="38">
        <v>28</v>
      </c>
      <c r="T123" s="38">
        <v>4</v>
      </c>
      <c r="U123" s="38">
        <v>67</v>
      </c>
      <c r="V123" s="38">
        <v>25</v>
      </c>
      <c r="W123" s="38">
        <v>36</v>
      </c>
      <c r="X123" s="38">
        <v>44</v>
      </c>
      <c r="Y123" s="38">
        <v>38</v>
      </c>
    </row>
    <row r="124" spans="16:33" x14ac:dyDescent="0.2">
      <c r="P124" s="38">
        <v>32020</v>
      </c>
      <c r="Q124" s="38">
        <v>101</v>
      </c>
      <c r="R124" s="38">
        <v>0</v>
      </c>
      <c r="S124" s="38">
        <v>123721097</v>
      </c>
      <c r="T124" s="38">
        <v>8917707</v>
      </c>
      <c r="U124" s="38">
        <v>45304</v>
      </c>
      <c r="V124" s="38">
        <v>2431350</v>
      </c>
      <c r="W124" s="38">
        <v>9765789</v>
      </c>
      <c r="X124" s="38">
        <v>3231285</v>
      </c>
      <c r="Y124" s="38">
        <v>0</v>
      </c>
    </row>
    <row r="125" spans="16:33" x14ac:dyDescent="0.2">
      <c r="P125" s="38">
        <v>32020</v>
      </c>
      <c r="Q125" s="38">
        <v>103</v>
      </c>
      <c r="S125" s="38">
        <v>902872</v>
      </c>
      <c r="T125" s="38">
        <v>29189</v>
      </c>
      <c r="U125" s="38">
        <v>5057</v>
      </c>
      <c r="V125" s="38">
        <v>3095</v>
      </c>
      <c r="W125" s="38">
        <v>64983</v>
      </c>
      <c r="X125" s="38">
        <v>76728</v>
      </c>
    </row>
    <row r="126" spans="16:33" x14ac:dyDescent="0.2">
      <c r="P126" s="38">
        <v>32020</v>
      </c>
      <c r="Q126" s="38">
        <v>105</v>
      </c>
      <c r="S126" s="38">
        <v>2175976</v>
      </c>
      <c r="V126" s="38">
        <v>36033</v>
      </c>
    </row>
    <row r="127" spans="16:33" x14ac:dyDescent="0.2">
      <c r="P127" s="38">
        <v>32020</v>
      </c>
      <c r="Q127" s="38">
        <v>109</v>
      </c>
      <c r="S127" s="38">
        <f>250+7996</f>
        <v>8246</v>
      </c>
      <c r="T127" s="38">
        <v>2231</v>
      </c>
      <c r="W127" s="38">
        <v>5348</v>
      </c>
    </row>
    <row r="128" spans="16:33" x14ac:dyDescent="0.2">
      <c r="P128" s="38">
        <v>32020</v>
      </c>
      <c r="Q128" s="38">
        <v>111</v>
      </c>
    </row>
    <row r="129" spans="16:24" x14ac:dyDescent="0.2">
      <c r="P129" s="38">
        <v>32020</v>
      </c>
      <c r="Q129" s="38">
        <v>121</v>
      </c>
      <c r="S129" s="38">
        <v>1431772</v>
      </c>
      <c r="W129" s="38">
        <v>50485</v>
      </c>
    </row>
    <row r="130" spans="16:24" x14ac:dyDescent="0.2">
      <c r="P130" s="38">
        <v>32020</v>
      </c>
      <c r="Q130" s="38">
        <v>141</v>
      </c>
    </row>
    <row r="131" spans="16:24" x14ac:dyDescent="0.2">
      <c r="P131" s="38">
        <v>32020</v>
      </c>
      <c r="Q131" s="38">
        <v>151</v>
      </c>
    </row>
    <row r="132" spans="16:24" x14ac:dyDescent="0.2">
      <c r="P132" s="38">
        <v>32020</v>
      </c>
      <c r="Q132" s="38">
        <v>161</v>
      </c>
      <c r="S132" s="38">
        <v>23725794</v>
      </c>
      <c r="T132" s="38">
        <v>109193</v>
      </c>
      <c r="V132" s="38">
        <v>480214</v>
      </c>
      <c r="W132" s="38">
        <v>267064</v>
      </c>
      <c r="X132" s="38">
        <v>279</v>
      </c>
    </row>
    <row r="133" spans="16:24" x14ac:dyDescent="0.2">
      <c r="P133" s="38">
        <v>32020</v>
      </c>
      <c r="Q133" s="38">
        <v>162</v>
      </c>
      <c r="S133" s="38">
        <v>116802</v>
      </c>
      <c r="T133" s="38">
        <v>655</v>
      </c>
      <c r="V133" s="38">
        <v>1795</v>
      </c>
    </row>
    <row r="134" spans="16:24" x14ac:dyDescent="0.2">
      <c r="P134" s="38">
        <v>32020</v>
      </c>
      <c r="Q134" s="38">
        <v>165</v>
      </c>
      <c r="S134" s="38">
        <v>8041</v>
      </c>
    </row>
    <row r="135" spans="16:24" x14ac:dyDescent="0.2">
      <c r="P135" s="38">
        <v>32020</v>
      </c>
      <c r="Q135" s="38">
        <v>171</v>
      </c>
    </row>
    <row r="136" spans="16:24" x14ac:dyDescent="0.2">
      <c r="P136" s="38">
        <v>32020</v>
      </c>
      <c r="Q136" s="38">
        <v>181</v>
      </c>
      <c r="S136" s="38">
        <v>138341</v>
      </c>
      <c r="T136" s="38">
        <v>3097</v>
      </c>
      <c r="V136" s="38">
        <v>9968</v>
      </c>
      <c r="W136" s="38">
        <v>4</v>
      </c>
    </row>
    <row r="137" spans="16:24" x14ac:dyDescent="0.2">
      <c r="P137" s="38">
        <v>32020</v>
      </c>
      <c r="Q137" s="38">
        <v>199</v>
      </c>
      <c r="S137" s="38">
        <v>1147147</v>
      </c>
      <c r="V137" s="38">
        <v>2756</v>
      </c>
      <c r="W137" s="38">
        <v>1148</v>
      </c>
    </row>
    <row r="138" spans="16:24" x14ac:dyDescent="0.2">
      <c r="P138" s="38">
        <v>32270</v>
      </c>
      <c r="Q138" s="38">
        <v>101</v>
      </c>
      <c r="S138" s="38">
        <v>10113850</v>
      </c>
    </row>
    <row r="139" spans="16:24" x14ac:dyDescent="0.2">
      <c r="P139" s="38">
        <v>32270</v>
      </c>
      <c r="Q139" s="38">
        <v>103</v>
      </c>
      <c r="S139" s="38">
        <v>153723</v>
      </c>
    </row>
    <row r="140" spans="16:24" x14ac:dyDescent="0.2">
      <c r="P140" s="38">
        <v>32270</v>
      </c>
      <c r="Q140" s="38">
        <v>109</v>
      </c>
      <c r="S140" s="38">
        <v>-2600</v>
      </c>
    </row>
    <row r="141" spans="16:24" x14ac:dyDescent="0.2">
      <c r="P141" s="38">
        <v>32270</v>
      </c>
      <c r="Q141" s="38">
        <v>161</v>
      </c>
      <c r="S141" s="38">
        <v>579744</v>
      </c>
    </row>
    <row r="142" spans="16:24" x14ac:dyDescent="0.2">
      <c r="P142" s="38">
        <v>32270</v>
      </c>
      <c r="Q142" s="38">
        <v>181</v>
      </c>
      <c r="S142" s="38">
        <v>59</v>
      </c>
    </row>
  </sheetData>
  <mergeCells count="2">
    <mergeCell ref="B68:L69"/>
    <mergeCell ref="N34:O34"/>
  </mergeCells>
  <printOptions horizontalCentered="1"/>
  <pageMargins left="0.25" right="0.25" top="0.25" bottom="0.25" header="0.5" footer="0.25"/>
  <pageSetup scale="77" orientation="portrait" r:id="rId1"/>
  <headerFooter alignWithMargins="0">
    <oddFooter>&amp;L&amp;D   &amp;T&amp;C&amp;F</oddFooter>
  </headerFooter>
  <ignoredErrors>
    <ignoredError sqref="H5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DD8E4-BA73-4A42-BEA4-0925E10350F9}">
  <dimension ref="B2"/>
  <sheetViews>
    <sheetView workbookViewId="0">
      <selection activeCell="B2" sqref="B2"/>
    </sheetView>
  </sheetViews>
  <sheetFormatPr defaultRowHeight="14.25" x14ac:dyDescent="0.2"/>
  <sheetData>
    <row r="2" spans="2:2" x14ac:dyDescent="0.2">
      <c r="B2" t="s">
        <v>241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3940B3-67E1-4EC0-88DB-BFCE07E9CA49}">
  <ds:schemaRefs>
    <ds:schemaRef ds:uri="http://purl.org/dc/terms/"/>
    <ds:schemaRef ds:uri="7a3a7298-5a2c-4a7b-947f-d94a8383171a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090e68c1-01bf-4ca3-9902-f13c0b861372"/>
    <ds:schemaRef ds:uri="http://www.w3.org/XML/1998/namespace"/>
    <ds:schemaRef ds:uri="http://purl.org/dc/dcmitype/"/>
    <ds:schemaRef ds:uri="74a816c8-2012-4a06-9eee-7fac2e12fc01"/>
    <ds:schemaRef ds:uri="1ecad1bf-37b2-4fe5-8d43-af4e731dea56"/>
  </ds:schemaRefs>
</ds:datastoreItem>
</file>

<file path=customXml/itemProps2.xml><?xml version="1.0" encoding="utf-8"?>
<ds:datastoreItem xmlns:ds="http://schemas.openxmlformats.org/officeDocument/2006/customXml" ds:itemID="{2D7EE320-2E5F-4ABA-9DEF-C8D05357CC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B11DFA-0ED3-485B-9955-213F00556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Info</vt:lpstr>
      <vt:lpstr>Water</vt:lpstr>
      <vt:lpstr>Retiree Costs</vt:lpstr>
      <vt:lpstr>Pension NEW7.30% in FYP Sc2 (3)</vt:lpstr>
      <vt:lpstr>PensionObligation Bonds 0190</vt:lpstr>
      <vt:lpstr>POB Rates in FYP by Fund</vt:lpstr>
      <vt:lpstr>Employee Disability</vt:lpstr>
      <vt:lpstr>FICA Projection</vt:lpstr>
      <vt:lpstr>GF Growth Rates</vt:lpstr>
      <vt:lpstr>Medicare</vt:lpstr>
      <vt:lpstr>'Employee Disability'!Print_Area</vt:lpstr>
      <vt:lpstr>'FICA Projection'!Print_Area</vt:lpstr>
      <vt:lpstr>Info!Print_Area</vt:lpstr>
      <vt:lpstr>'Pension NEW7.30% in FYP Sc2 (3)'!Print_Area</vt:lpstr>
      <vt:lpstr>'PensionObligation Bonds 0190'!Print_Area</vt:lpstr>
      <vt:lpstr>'Retiree Costs'!Print_Area</vt:lpstr>
      <vt:lpstr>Water!Print_Area</vt:lpstr>
      <vt:lpstr>RevRecPol</vt:lpstr>
      <vt:lpstr>Salary_Growth</vt:lpstr>
      <vt:lpstr>SocSec</vt:lpstr>
    </vt:vector>
  </TitlesOfParts>
  <Company>City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ROBERT.FITZMARTIN</dc:creator>
  <cp:lastModifiedBy>Daniel Cantu-Hertzler</cp:lastModifiedBy>
  <cp:lastPrinted>2020-05-18T20:08:40Z</cp:lastPrinted>
  <dcterms:created xsi:type="dcterms:W3CDTF">2013-04-17T19:47:37Z</dcterms:created>
  <dcterms:modified xsi:type="dcterms:W3CDTF">2025-04-02T14:00:54Z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</Properties>
</file>