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0"/>
  <workbookPr showInkAnnotation="0"/>
  <mc:AlternateContent xmlns:mc="http://schemas.openxmlformats.org/markup-compatibility/2006">
    <mc:Choice Requires="x15">
      <x15ac:absPath xmlns:x15ac="http://schemas.microsoft.com/office/spreadsheetml/2010/11/ac" url="https://raftelis.sharepoint.com/sites/RaftelisHome/Project_Data_D/Pennsylvania/PHILADELPHIA WATER DEPT/2025 TAP-R Rate Case/Submitted Documents/Excel Model/"/>
    </mc:Choice>
  </mc:AlternateContent>
  <xr:revisionPtr revIDLastSave="65" documentId="8_{2499A48D-4D23-48C7-8163-3053608B84AF}" xr6:coauthVersionLast="47" xr6:coauthVersionMax="47" xr10:uidLastSave="{7D9E9300-63D7-F94B-81C5-0C993922AAC2}"/>
  <bookViews>
    <workbookView xWindow="15015" yWindow="-16320" windowWidth="29040" windowHeight="15720" firstSheet="7" xr2:uid="{048FF7AF-5DF2-46CD-93FF-8D9BEC5401FD}"/>
  </bookViews>
  <sheets>
    <sheet name="Cover" sheetId="27" r:id="rId1"/>
    <sheet name="Table of Contents" sheetId="26" r:id="rId2"/>
    <sheet name="TRR_Summary" sheetId="16" r:id="rId3"/>
    <sheet name="TRR_Projections" sheetId="23" r:id="rId4"/>
    <sheet name="Data Source" sheetId="17" r:id="rId5"/>
    <sheet name="DR_1" sheetId="24" r:id="rId6"/>
    <sheet name="DR_2" sheetId="25" r:id="rId7"/>
    <sheet name="DR_3A Participants" sheetId="20" r:id="rId8"/>
    <sheet name="DR_4" sheetId="21" r:id="rId9"/>
    <sheet name="051018 Model_Applications" sheetId="28" state="hidden" r:id="rId10"/>
    <sheet name="051018 Model_Assumptions" sheetId="29" state="hidden" r:id="rId11"/>
    <sheet name="051018 Model_Model" sheetId="30" state="hidden" r:id="rId12"/>
    <sheet name="051018 Model_Cost Estimates" sheetId="31" state="hidden" r:id="rId13"/>
  </sheets>
  <definedNames>
    <definedName name="_xlnm.Print_Area" localSheetId="0">Cover!$A$1:$I$11</definedName>
    <definedName name="_xlnm.Print_Area" localSheetId="4">'Data Source'!$A$1:$K$7</definedName>
    <definedName name="_xlnm.Print_Area" localSheetId="5">DR_1!$AM$1:$AW$20</definedName>
    <definedName name="_xlnm.Print_Area" localSheetId="6">DR_2!$AM$1:$AW$20</definedName>
    <definedName name="_xlnm.Print_Area" localSheetId="7">'DR_3A Participants'!$AL$1:$AV$9</definedName>
    <definedName name="_xlnm.Print_Area" localSheetId="8">DR_4!$AL$1:$AV$9</definedName>
    <definedName name="_xlnm.Print_Area" localSheetId="1">'Table of Contents'!$A$1:$B$9</definedName>
    <definedName name="_xlnm.Print_Area" localSheetId="3">TRR_Projections!$AL$1:$BQ$14</definedName>
    <definedName name="_xlnm.Print_Titles" localSheetId="5">DR_1!$A:$B</definedName>
    <definedName name="_xlnm.Print_Titles" localSheetId="6">DR_2!$A:$B</definedName>
    <definedName name="_xlnm.Print_Titles" localSheetId="7">'DR_3A Participants'!$A:$A</definedName>
    <definedName name="_xlnm.Print_Titles" localSheetId="8">DR_4!$A:$A</definedName>
    <definedName name="_xlnm.Print_Titles" localSheetId="3">TRR_Projections!$A:$A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1" l="1"/>
  <c r="A1" i="20"/>
  <c r="A1" i="25"/>
  <c r="B4" i="16"/>
  <c r="B11" i="16"/>
  <c r="E11" i="16"/>
  <c r="C14" i="24"/>
  <c r="D14" i="24"/>
  <c r="E14" i="24"/>
  <c r="F14" i="24"/>
  <c r="G14" i="24"/>
  <c r="H14" i="24"/>
  <c r="C15" i="24"/>
  <c r="D15" i="24"/>
  <c r="E15" i="24"/>
  <c r="F15" i="24"/>
  <c r="G15" i="24"/>
  <c r="H15" i="24"/>
  <c r="C16" i="24"/>
  <c r="D16" i="24"/>
  <c r="E16" i="24"/>
  <c r="F16" i="24"/>
  <c r="G16" i="24"/>
  <c r="H16" i="24"/>
  <c r="BE1" i="23"/>
  <c r="BF1" i="23"/>
  <c r="BG1" i="23"/>
  <c r="BH1" i="23"/>
  <c r="BI1" i="23"/>
  <c r="BJ1" i="23"/>
  <c r="BK1" i="23"/>
  <c r="BL1" i="23"/>
  <c r="BM1" i="23"/>
  <c r="BN1" i="23"/>
  <c r="BO1" i="23"/>
  <c r="BP1" i="23"/>
  <c r="BQ1" i="23"/>
  <c r="BF6" i="23"/>
  <c r="BF8" i="23"/>
  <c r="BF10" i="23"/>
  <c r="BG6" i="23"/>
  <c r="BG8" i="23"/>
  <c r="BG10" i="23"/>
  <c r="BH6" i="23"/>
  <c r="BH8" i="23"/>
  <c r="BH10" i="23"/>
  <c r="BI6" i="23"/>
  <c r="BI8" i="23"/>
  <c r="BI10" i="23"/>
  <c r="BJ6" i="23"/>
  <c r="BJ8" i="23"/>
  <c r="BJ10" i="23"/>
  <c r="BK6" i="23"/>
  <c r="BK8" i="23"/>
  <c r="BK10" i="23"/>
  <c r="BL6" i="23"/>
  <c r="BL8" i="23"/>
  <c r="BL10" i="23"/>
  <c r="BM6" i="23"/>
  <c r="BM8" i="23"/>
  <c r="BM10" i="23"/>
  <c r="BN6" i="23"/>
  <c r="BN8" i="23"/>
  <c r="BN10" i="23"/>
  <c r="BO6" i="23"/>
  <c r="BO8" i="23"/>
  <c r="BO10" i="23"/>
  <c r="BP6" i="23"/>
  <c r="BP8" i="23"/>
  <c r="BP10" i="23"/>
  <c r="BQ6" i="23"/>
  <c r="BQ8" i="23"/>
  <c r="BQ10" i="23"/>
  <c r="B13" i="16"/>
  <c r="AO5" i="23"/>
  <c r="AR5" i="23"/>
  <c r="AS5" i="23"/>
  <c r="AV5" i="23"/>
  <c r="AM13" i="25"/>
  <c r="AM14" i="25"/>
  <c r="AM15" i="25"/>
  <c r="AM16" i="25"/>
  <c r="AW14" i="25"/>
  <c r="AS14" i="25"/>
  <c r="AP14" i="25"/>
  <c r="AQ14" i="25"/>
  <c r="AR14" i="25"/>
  <c r="AT14" i="25"/>
  <c r="AU14" i="25"/>
  <c r="AV14" i="25"/>
  <c r="AP15" i="25"/>
  <c r="AQ15" i="25"/>
  <c r="AR15" i="25"/>
  <c r="AS15" i="25"/>
  <c r="AT15" i="25"/>
  <c r="AU15" i="25"/>
  <c r="AV15" i="25"/>
  <c r="AW15" i="25"/>
  <c r="AP16" i="25"/>
  <c r="AQ16" i="25"/>
  <c r="AR16" i="25"/>
  <c r="AS16" i="25"/>
  <c r="AT16" i="25"/>
  <c r="AU16" i="25"/>
  <c r="AV16" i="25"/>
  <c r="AW16" i="25"/>
  <c r="AP13" i="25"/>
  <c r="AQ13" i="25"/>
  <c r="AR13" i="25"/>
  <c r="AS13" i="25"/>
  <c r="AT13" i="25"/>
  <c r="AU13" i="25"/>
  <c r="AV13" i="25"/>
  <c r="AW13" i="25"/>
  <c r="AP4" i="25"/>
  <c r="AQ4" i="25"/>
  <c r="AR4" i="25"/>
  <c r="AS4" i="25"/>
  <c r="AT4" i="25"/>
  <c r="AU4" i="25"/>
  <c r="AV4" i="25"/>
  <c r="AW4" i="25"/>
  <c r="AP3" i="25"/>
  <c r="AP2" i="25"/>
  <c r="AQ3" i="25"/>
  <c r="AR3" i="25"/>
  <c r="AM14" i="24"/>
  <c r="AM15" i="24"/>
  <c r="AM16" i="24"/>
  <c r="AP16" i="24"/>
  <c r="AQ16" i="24"/>
  <c r="AR16" i="24"/>
  <c r="AS16" i="24"/>
  <c r="AT16" i="24"/>
  <c r="AU16" i="24"/>
  <c r="AV16" i="24"/>
  <c r="AW16" i="24"/>
  <c r="AP15" i="24"/>
  <c r="AQ15" i="24"/>
  <c r="AR15" i="24"/>
  <c r="AS15" i="24"/>
  <c r="AT15" i="24"/>
  <c r="AU15" i="24"/>
  <c r="AV15" i="24"/>
  <c r="AW15" i="24"/>
  <c r="AP14" i="24"/>
  <c r="AQ14" i="24"/>
  <c r="AR14" i="24"/>
  <c r="AS14" i="24"/>
  <c r="AT14" i="24"/>
  <c r="AU14" i="24"/>
  <c r="AV14" i="24"/>
  <c r="AW14" i="24"/>
  <c r="AO9" i="21"/>
  <c r="AP9" i="21"/>
  <c r="AQ9" i="21"/>
  <c r="AR9" i="21"/>
  <c r="AS9" i="21"/>
  <c r="AT9" i="21"/>
  <c r="AU9" i="21"/>
  <c r="AV9" i="21"/>
  <c r="AO4" i="21"/>
  <c r="AP4" i="21"/>
  <c r="AQ4" i="21"/>
  <c r="AR4" i="21"/>
  <c r="AS4" i="21"/>
  <c r="AT4" i="21"/>
  <c r="AU4" i="21"/>
  <c r="AV4" i="21"/>
  <c r="AO3" i="21"/>
  <c r="AO2" i="21"/>
  <c r="AP3" i="21"/>
  <c r="AP2" i="21"/>
  <c r="AO9" i="20"/>
  <c r="AP9" i="20"/>
  <c r="AP5" i="23"/>
  <c r="AQ9" i="20"/>
  <c r="AQ5" i="23"/>
  <c r="AR9" i="20"/>
  <c r="AS9" i="20"/>
  <c r="AT9" i="20"/>
  <c r="AT5" i="23"/>
  <c r="AU9" i="20"/>
  <c r="AU5" i="23"/>
  <c r="AV9" i="20"/>
  <c r="AO4" i="20"/>
  <c r="AP4" i="20"/>
  <c r="AQ4" i="20"/>
  <c r="AR4" i="20"/>
  <c r="AS4" i="20"/>
  <c r="AT4" i="20"/>
  <c r="AU4" i="20"/>
  <c r="AV4" i="20"/>
  <c r="AU3" i="20"/>
  <c r="AU2" i="20"/>
  <c r="AO3" i="20"/>
  <c r="AO2" i="20"/>
  <c r="AR2" i="25"/>
  <c r="AS3" i="25"/>
  <c r="AQ2" i="25"/>
  <c r="AQ3" i="21"/>
  <c r="AV3" i="20"/>
  <c r="AV2" i="20"/>
  <c r="AP3" i="20"/>
  <c r="AT3" i="25"/>
  <c r="AS2" i="25"/>
  <c r="AQ2" i="21"/>
  <c r="AR3" i="21"/>
  <c r="AP2" i="20"/>
  <c r="AQ3" i="20"/>
  <c r="AU3" i="25"/>
  <c r="AT2" i="25"/>
  <c r="AR2" i="21"/>
  <c r="AS3" i="21"/>
  <c r="AQ2" i="20"/>
  <c r="AR3" i="20"/>
  <c r="AU2" i="25"/>
  <c r="AV3" i="25"/>
  <c r="AS2" i="21"/>
  <c r="AT3" i="21"/>
  <c r="AR2" i="20"/>
  <c r="AS3" i="20"/>
  <c r="AN9" i="21"/>
  <c r="AN3" i="21"/>
  <c r="AN9" i="20"/>
  <c r="AN5" i="23"/>
  <c r="AN3" i="20"/>
  <c r="AO16" i="25"/>
  <c r="AO15" i="25"/>
  <c r="AO14" i="25"/>
  <c r="AO3" i="25"/>
  <c r="AO2" i="25"/>
  <c r="AO16" i="24"/>
  <c r="AO15" i="24"/>
  <c r="AO14" i="24"/>
  <c r="AV2" i="25"/>
  <c r="AW3" i="25"/>
  <c r="AT2" i="21"/>
  <c r="AU3" i="21"/>
  <c r="AT3" i="20"/>
  <c r="AT2" i="20"/>
  <c r="AS2" i="20"/>
  <c r="AN2" i="21"/>
  <c r="AN4" i="21"/>
  <c r="AN4" i="20"/>
  <c r="AN2" i="20"/>
  <c r="AO4" i="25"/>
  <c r="AO13" i="25"/>
  <c r="AW2" i="25"/>
  <c r="AU2" i="21"/>
  <c r="AV3" i="21"/>
  <c r="AM6" i="23"/>
  <c r="AL6" i="23"/>
  <c r="AM9" i="21"/>
  <c r="AL9" i="21"/>
  <c r="AM3" i="21"/>
  <c r="AM2" i="21"/>
  <c r="AM4" i="21"/>
  <c r="AL3" i="21"/>
  <c r="AL2" i="21"/>
  <c r="AL4" i="21"/>
  <c r="AM9" i="20"/>
  <c r="AM5" i="23"/>
  <c r="AM3" i="20"/>
  <c r="AM4" i="20"/>
  <c r="AM2" i="20"/>
  <c r="AL9" i="20"/>
  <c r="AL5" i="23"/>
  <c r="AL3" i="20"/>
  <c r="AL4" i="20"/>
  <c r="AL2" i="20"/>
  <c r="AN16" i="25"/>
  <c r="AN15" i="25"/>
  <c r="AN14" i="25"/>
  <c r="AN13" i="25"/>
  <c r="AN3" i="25"/>
  <c r="AN2" i="25"/>
  <c r="AN4" i="25"/>
  <c r="AM4" i="25"/>
  <c r="AM3" i="25"/>
  <c r="AM2" i="25"/>
  <c r="AL8" i="23"/>
  <c r="AL7" i="23"/>
  <c r="AM8" i="23"/>
  <c r="AM7" i="23"/>
  <c r="AV2" i="21"/>
  <c r="AM10" i="23"/>
  <c r="AM11" i="23"/>
  <c r="AL10" i="23"/>
  <c r="AL11" i="23"/>
  <c r="AN16" i="24"/>
  <c r="AN15" i="24"/>
  <c r="AN14" i="24"/>
  <c r="A1" i="24"/>
  <c r="AL16" i="24"/>
  <c r="AL15" i="24"/>
  <c r="AL14" i="24"/>
  <c r="N15" i="24"/>
  <c r="N3" i="24"/>
  <c r="N2" i="24"/>
  <c r="O3" i="24"/>
  <c r="O2" i="24"/>
  <c r="P3" i="24"/>
  <c r="P2" i="24"/>
  <c r="C4" i="24"/>
  <c r="D4" i="24"/>
  <c r="D13" i="24"/>
  <c r="E4" i="24"/>
  <c r="E13" i="24"/>
  <c r="F4" i="24"/>
  <c r="F13" i="24"/>
  <c r="G4" i="24"/>
  <c r="G13" i="24"/>
  <c r="H4" i="24"/>
  <c r="H13" i="24"/>
  <c r="I4" i="24"/>
  <c r="J4" i="24"/>
  <c r="K4" i="24"/>
  <c r="L4" i="24"/>
  <c r="M4" i="24"/>
  <c r="AA14" i="24"/>
  <c r="AB14" i="24"/>
  <c r="AC14" i="24"/>
  <c r="AD14" i="24"/>
  <c r="AE14" i="24"/>
  <c r="AF14" i="24"/>
  <c r="AG14" i="24"/>
  <c r="AH14" i="24"/>
  <c r="AI14" i="24"/>
  <c r="AJ14" i="24"/>
  <c r="AK14" i="24"/>
  <c r="AA15" i="24"/>
  <c r="AB15" i="24"/>
  <c r="AC15" i="24"/>
  <c r="AD15" i="24"/>
  <c r="AE15" i="24"/>
  <c r="AF15" i="24"/>
  <c r="AG15" i="24"/>
  <c r="AH15" i="24"/>
  <c r="AI15" i="24"/>
  <c r="AJ15" i="24"/>
  <c r="AK15" i="24"/>
  <c r="AA16" i="24"/>
  <c r="AB16" i="24"/>
  <c r="AC16" i="24"/>
  <c r="AD16" i="24"/>
  <c r="AE16" i="24"/>
  <c r="AF16" i="24"/>
  <c r="AG16" i="24"/>
  <c r="AH16" i="24"/>
  <c r="AI16" i="24"/>
  <c r="AJ16" i="24"/>
  <c r="AK16" i="24"/>
  <c r="C13" i="24"/>
  <c r="Q3" i="24"/>
  <c r="R3" i="24"/>
  <c r="S3" i="24"/>
  <c r="T3" i="24"/>
  <c r="U3" i="24"/>
  <c r="V3" i="24"/>
  <c r="P4" i="24"/>
  <c r="O4" i="24"/>
  <c r="Q2" i="24"/>
  <c r="R2" i="24"/>
  <c r="N4" i="24"/>
  <c r="S2" i="24"/>
  <c r="R4" i="24"/>
  <c r="Q4" i="24"/>
  <c r="W3" i="24"/>
  <c r="X3" i="24"/>
  <c r="S4" i="24"/>
  <c r="T2" i="24"/>
  <c r="U2" i="24"/>
  <c r="T4" i="24"/>
  <c r="Y3" i="24"/>
  <c r="Z3" i="24"/>
  <c r="U4" i="24"/>
  <c r="V2" i="24"/>
  <c r="V4" i="24"/>
  <c r="W2" i="24"/>
  <c r="AA3" i="24"/>
  <c r="W4" i="24"/>
  <c r="X2" i="24"/>
  <c r="AB3" i="24"/>
  <c r="X4" i="24"/>
  <c r="Y2" i="24"/>
  <c r="AC3" i="24"/>
  <c r="AD3" i="24"/>
  <c r="Y4" i="24"/>
  <c r="Z2" i="24"/>
  <c r="Z4" i="24"/>
  <c r="AA2" i="24"/>
  <c r="AE3" i="24"/>
  <c r="AF3" i="24"/>
  <c r="AA4" i="24"/>
  <c r="AA13" i="24"/>
  <c r="AB2" i="24"/>
  <c r="AB4" i="24"/>
  <c r="AB13" i="24"/>
  <c r="AC2" i="24"/>
  <c r="AG3" i="24"/>
  <c r="AC4" i="24"/>
  <c r="AC13" i="24"/>
  <c r="AD2" i="24"/>
  <c r="AH3" i="24"/>
  <c r="AI3" i="24"/>
  <c r="AD4" i="24"/>
  <c r="AD13" i="24"/>
  <c r="AE2" i="24"/>
  <c r="AE4" i="24"/>
  <c r="AE13" i="24"/>
  <c r="AF2" i="24"/>
  <c r="AJ3" i="24"/>
  <c r="AK3" i="24"/>
  <c r="AL3" i="24"/>
  <c r="AF4" i="24"/>
  <c r="AF13" i="24"/>
  <c r="AG2" i="24"/>
  <c r="AM3" i="24"/>
  <c r="AG4" i="24"/>
  <c r="AG13" i="24"/>
  <c r="AH2" i="24"/>
  <c r="AN3" i="24"/>
  <c r="AH4" i="24"/>
  <c r="AH13" i="24"/>
  <c r="AI2" i="24"/>
  <c r="AO3" i="24"/>
  <c r="AI4" i="24"/>
  <c r="AI13" i="24"/>
  <c r="AJ2" i="24"/>
  <c r="AP3" i="24"/>
  <c r="AJ4" i="24"/>
  <c r="AJ13" i="24"/>
  <c r="AK2" i="24"/>
  <c r="AK4" i="24"/>
  <c r="AK13" i="24"/>
  <c r="AL2" i="24"/>
  <c r="AQ3" i="24"/>
  <c r="Z16" i="24"/>
  <c r="Z15" i="24"/>
  <c r="Z14" i="24"/>
  <c r="AL16" i="25"/>
  <c r="AL15" i="25"/>
  <c r="AL14" i="25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AK9" i="20"/>
  <c r="AK5" i="23"/>
  <c r="AK16" i="25"/>
  <c r="AK15" i="25"/>
  <c r="AK14" i="25"/>
  <c r="AJ16" i="25"/>
  <c r="AI16" i="25"/>
  <c r="AH16" i="25"/>
  <c r="AG16" i="25"/>
  <c r="AF16" i="25"/>
  <c r="AE16" i="25"/>
  <c r="AD16" i="25"/>
  <c r="AC16" i="25"/>
  <c r="AB16" i="25"/>
  <c r="AA16" i="25"/>
  <c r="Z16" i="25"/>
  <c r="AJ15" i="25"/>
  <c r="AI15" i="25"/>
  <c r="AH15" i="25"/>
  <c r="AG15" i="25"/>
  <c r="AF15" i="25"/>
  <c r="AE15" i="25"/>
  <c r="AD15" i="25"/>
  <c r="AC15" i="25"/>
  <c r="AB15" i="25"/>
  <c r="AA15" i="25"/>
  <c r="Z15" i="25"/>
  <c r="AJ14" i="25"/>
  <c r="AI14" i="25"/>
  <c r="AH14" i="25"/>
  <c r="AG14" i="25"/>
  <c r="AF14" i="25"/>
  <c r="AE14" i="25"/>
  <c r="AD14" i="25"/>
  <c r="AC14" i="25"/>
  <c r="AB14" i="25"/>
  <c r="AA14" i="25"/>
  <c r="Z14" i="25"/>
  <c r="AJ9" i="20"/>
  <c r="AJ5" i="23"/>
  <c r="AK12" i="23"/>
  <c r="AI9" i="20"/>
  <c r="AI5" i="23"/>
  <c r="AJ12" i="23"/>
  <c r="AH9" i="20"/>
  <c r="AH5" i="23"/>
  <c r="AI12" i="23"/>
  <c r="AG9" i="20"/>
  <c r="AG5" i="23"/>
  <c r="AF9" i="20"/>
  <c r="AF5" i="23"/>
  <c r="AG12" i="23"/>
  <c r="AE9" i="20"/>
  <c r="AE5" i="23"/>
  <c r="AF12" i="23"/>
  <c r="AD9" i="20"/>
  <c r="AD5" i="23"/>
  <c r="AE12" i="23"/>
  <c r="AC9" i="20"/>
  <c r="AC5" i="23"/>
  <c r="AB9" i="20"/>
  <c r="AB5" i="23"/>
  <c r="AC12" i="23"/>
  <c r="AA9" i="20"/>
  <c r="AA5" i="23"/>
  <c r="AB12" i="23"/>
  <c r="Z9" i="20"/>
  <c r="Z5" i="23"/>
  <c r="AA12" i="23"/>
  <c r="Y9" i="20"/>
  <c r="Y5" i="23"/>
  <c r="BE6" i="23"/>
  <c r="BE8" i="23"/>
  <c r="BE10" i="23"/>
  <c r="BD6" i="23"/>
  <c r="BD8" i="23"/>
  <c r="BD10" i="23"/>
  <c r="BC6" i="23"/>
  <c r="BC8" i="23"/>
  <c r="BC10" i="23"/>
  <c r="BB6" i="23"/>
  <c r="BB8" i="23"/>
  <c r="BB10" i="23"/>
  <c r="BA6" i="23"/>
  <c r="BA8" i="23"/>
  <c r="BA10" i="23"/>
  <c r="AZ6" i="23"/>
  <c r="AZ8" i="23"/>
  <c r="AZ10" i="23"/>
  <c r="AY6" i="23"/>
  <c r="AY8" i="23"/>
  <c r="AY10" i="23"/>
  <c r="AX6" i="23"/>
  <c r="AX8" i="23"/>
  <c r="AX10" i="23"/>
  <c r="AW6" i="23"/>
  <c r="AW8" i="23"/>
  <c r="AW10" i="23"/>
  <c r="AV6" i="23"/>
  <c r="AU6" i="23"/>
  <c r="AT6" i="23"/>
  <c r="AS6" i="23"/>
  <c r="AR6" i="23"/>
  <c r="AQ6" i="23"/>
  <c r="AP6" i="23"/>
  <c r="AO6" i="23"/>
  <c r="AN6" i="23"/>
  <c r="AK6" i="23"/>
  <c r="AK7" i="23"/>
  <c r="AR3" i="24"/>
  <c r="AL4" i="24"/>
  <c r="AL13" i="24"/>
  <c r="AM2" i="24"/>
  <c r="Z12" i="23"/>
  <c r="AD12" i="23"/>
  <c r="AH12" i="23"/>
  <c r="AQ8" i="23"/>
  <c r="AQ7" i="23"/>
  <c r="AU8" i="23"/>
  <c r="AU7" i="23"/>
  <c r="AN8" i="23"/>
  <c r="AN7" i="23"/>
  <c r="AR8" i="23"/>
  <c r="AR7" i="23"/>
  <c r="AV8" i="23"/>
  <c r="AV7" i="23"/>
  <c r="AO8" i="23"/>
  <c r="AO7" i="23"/>
  <c r="AS8" i="23"/>
  <c r="AS7" i="23"/>
  <c r="AP8" i="23"/>
  <c r="AP7" i="23"/>
  <c r="AT8" i="23"/>
  <c r="AT7" i="23"/>
  <c r="AK8" i="23"/>
  <c r="AK9" i="23"/>
  <c r="Z13" i="24"/>
  <c r="AM4" i="24"/>
  <c r="AN2" i="24"/>
  <c r="AS3" i="24"/>
  <c r="AP10" i="23"/>
  <c r="AP11" i="23"/>
  <c r="AO10" i="23"/>
  <c r="AO11" i="23"/>
  <c r="AR10" i="23"/>
  <c r="AR11" i="23"/>
  <c r="AU10" i="23"/>
  <c r="AU11" i="23"/>
  <c r="AT10" i="23"/>
  <c r="AT11" i="23"/>
  <c r="AS10" i="23"/>
  <c r="AS11" i="23"/>
  <c r="AV10" i="23"/>
  <c r="AV11" i="23"/>
  <c r="AN10" i="23"/>
  <c r="AN11" i="23"/>
  <c r="AQ10" i="23"/>
  <c r="AQ11" i="23"/>
  <c r="AK10" i="23"/>
  <c r="AK11" i="23"/>
  <c r="B10" i="16"/>
  <c r="AT1" i="23"/>
  <c r="T9" i="21"/>
  <c r="U9" i="21"/>
  <c r="V9" i="21"/>
  <c r="W9" i="21"/>
  <c r="X9" i="21"/>
  <c r="T9" i="20"/>
  <c r="T5" i="23"/>
  <c r="U12" i="23"/>
  <c r="U9" i="20"/>
  <c r="U5" i="23"/>
  <c r="V9" i="20"/>
  <c r="V5" i="23"/>
  <c r="W9" i="20"/>
  <c r="W5" i="23"/>
  <c r="X9" i="20"/>
  <c r="X5" i="23"/>
  <c r="Y12" i="23"/>
  <c r="U14" i="24"/>
  <c r="V14" i="24"/>
  <c r="W14" i="24"/>
  <c r="X14" i="24"/>
  <c r="Y14" i="24"/>
  <c r="U15" i="24"/>
  <c r="V15" i="24"/>
  <c r="W15" i="24"/>
  <c r="X15" i="24"/>
  <c r="Y15" i="24"/>
  <c r="U16" i="24"/>
  <c r="V16" i="24"/>
  <c r="W16" i="24"/>
  <c r="X16" i="24"/>
  <c r="Y16" i="24"/>
  <c r="U14" i="25"/>
  <c r="V14" i="25"/>
  <c r="W14" i="25"/>
  <c r="X14" i="25"/>
  <c r="Y14" i="25"/>
  <c r="U15" i="25"/>
  <c r="V15" i="25"/>
  <c r="W15" i="25"/>
  <c r="X15" i="25"/>
  <c r="Y15" i="25"/>
  <c r="U16" i="25"/>
  <c r="V16" i="25"/>
  <c r="W16" i="25"/>
  <c r="X16" i="25"/>
  <c r="Y16" i="25"/>
  <c r="AF6" i="23"/>
  <c r="AF7" i="23"/>
  <c r="AT3" i="24"/>
  <c r="AN4" i="24"/>
  <c r="AO2" i="24"/>
  <c r="AM13" i="24"/>
  <c r="AM9" i="23"/>
  <c r="AL9" i="23"/>
  <c r="X12" i="23"/>
  <c r="W12" i="23"/>
  <c r="V12" i="23"/>
  <c r="AL1" i="23"/>
  <c r="B12" i="16"/>
  <c r="F10" i="16"/>
  <c r="S1" i="23"/>
  <c r="BD1" i="23"/>
  <c r="AA1" i="23"/>
  <c r="Y1" i="23"/>
  <c r="W1" i="23"/>
  <c r="O1" i="23"/>
  <c r="AZ1" i="23"/>
  <c r="H1" i="23"/>
  <c r="U13" i="24"/>
  <c r="D12" i="16"/>
  <c r="B6" i="23"/>
  <c r="C6" i="23"/>
  <c r="K9" i="21"/>
  <c r="L9" i="21"/>
  <c r="M9" i="21"/>
  <c r="N9" i="21"/>
  <c r="O9" i="21"/>
  <c r="P9" i="21"/>
  <c r="Q9" i="21"/>
  <c r="R9" i="21"/>
  <c r="S9" i="21"/>
  <c r="M3" i="21"/>
  <c r="K4" i="21"/>
  <c r="L4" i="21"/>
  <c r="J4" i="21"/>
  <c r="K9" i="20"/>
  <c r="K5" i="23"/>
  <c r="L9" i="20"/>
  <c r="L5" i="23"/>
  <c r="M12" i="23"/>
  <c r="M9" i="20"/>
  <c r="M5" i="23"/>
  <c r="N9" i="20"/>
  <c r="N5" i="23"/>
  <c r="O9" i="20"/>
  <c r="O5" i="23"/>
  <c r="P9" i="20"/>
  <c r="P5" i="23"/>
  <c r="Q12" i="23"/>
  <c r="Q9" i="20"/>
  <c r="Q5" i="23"/>
  <c r="R9" i="20"/>
  <c r="R5" i="23"/>
  <c r="S9" i="20"/>
  <c r="S5" i="23"/>
  <c r="T12" i="23"/>
  <c r="K4" i="20"/>
  <c r="L4" i="20"/>
  <c r="L4" i="25"/>
  <c r="L13" i="25"/>
  <c r="M4" i="25"/>
  <c r="M13" i="25"/>
  <c r="L14" i="25"/>
  <c r="M14" i="25"/>
  <c r="L15" i="25"/>
  <c r="M15" i="25"/>
  <c r="L16" i="25"/>
  <c r="M16" i="25"/>
  <c r="C14" i="25"/>
  <c r="G14" i="25"/>
  <c r="K14" i="25"/>
  <c r="I15" i="25"/>
  <c r="C16" i="25"/>
  <c r="E16" i="25"/>
  <c r="F16" i="25"/>
  <c r="G16" i="25"/>
  <c r="I16" i="25"/>
  <c r="K16" i="25"/>
  <c r="M3" i="20"/>
  <c r="M2" i="20"/>
  <c r="N3" i="25"/>
  <c r="O3" i="25"/>
  <c r="P3" i="25"/>
  <c r="N13" i="24"/>
  <c r="J14" i="24"/>
  <c r="I15" i="24"/>
  <c r="M15" i="24"/>
  <c r="J15" i="24"/>
  <c r="J16" i="24"/>
  <c r="K16" i="24"/>
  <c r="K14" i="24"/>
  <c r="K15" i="24"/>
  <c r="I16" i="24"/>
  <c r="M16" i="24"/>
  <c r="AH6" i="23"/>
  <c r="AJ6" i="23"/>
  <c r="AI6" i="23"/>
  <c r="F9" i="21"/>
  <c r="G9" i="21"/>
  <c r="H9" i="21"/>
  <c r="I9" i="21"/>
  <c r="J9" i="21"/>
  <c r="B9" i="21"/>
  <c r="C9" i="21"/>
  <c r="D9" i="21"/>
  <c r="F4" i="21"/>
  <c r="G4" i="21"/>
  <c r="H4" i="21"/>
  <c r="I4" i="21"/>
  <c r="F9" i="20"/>
  <c r="F5" i="23"/>
  <c r="G9" i="20"/>
  <c r="G5" i="23"/>
  <c r="H9" i="20"/>
  <c r="H5" i="23"/>
  <c r="I12" i="23"/>
  <c r="I9" i="20"/>
  <c r="I5" i="23"/>
  <c r="J9" i="20"/>
  <c r="J5" i="23"/>
  <c r="F4" i="20"/>
  <c r="G4" i="20"/>
  <c r="H4" i="20"/>
  <c r="I4" i="20"/>
  <c r="J4" i="20"/>
  <c r="H14" i="25"/>
  <c r="I14" i="25"/>
  <c r="J14" i="25"/>
  <c r="G15" i="25"/>
  <c r="H15" i="25"/>
  <c r="J15" i="25"/>
  <c r="K15" i="25"/>
  <c r="H16" i="25"/>
  <c r="J16" i="25"/>
  <c r="G4" i="25"/>
  <c r="G13" i="25"/>
  <c r="H4" i="25"/>
  <c r="H13" i="25"/>
  <c r="I4" i="25"/>
  <c r="I13" i="25"/>
  <c r="J4" i="25"/>
  <c r="J13" i="25"/>
  <c r="K4" i="25"/>
  <c r="K13" i="25"/>
  <c r="E15" i="25"/>
  <c r="F15" i="25"/>
  <c r="D16" i="25"/>
  <c r="I14" i="24"/>
  <c r="L14" i="24"/>
  <c r="M14" i="24"/>
  <c r="L15" i="24"/>
  <c r="L16" i="24"/>
  <c r="I13" i="24"/>
  <c r="J13" i="24"/>
  <c r="K13" i="24"/>
  <c r="L13" i="24"/>
  <c r="M13" i="24"/>
  <c r="B4" i="21"/>
  <c r="C4" i="21"/>
  <c r="D4" i="21"/>
  <c r="E4" i="21"/>
  <c r="B4" i="20"/>
  <c r="C4" i="20"/>
  <c r="D4" i="20"/>
  <c r="E4" i="20"/>
  <c r="B9" i="20"/>
  <c r="B5" i="23"/>
  <c r="C9" i="20"/>
  <c r="C5" i="23"/>
  <c r="D12" i="23"/>
  <c r="D9" i="20"/>
  <c r="D5" i="23"/>
  <c r="E9" i="20"/>
  <c r="E5" i="23"/>
  <c r="F12" i="23"/>
  <c r="C4" i="25"/>
  <c r="D4" i="25"/>
  <c r="D13" i="25"/>
  <c r="E4" i="25"/>
  <c r="E13" i="25"/>
  <c r="F4" i="25"/>
  <c r="F13" i="25"/>
  <c r="E9" i="21"/>
  <c r="D15" i="25"/>
  <c r="F14" i="25"/>
  <c r="E14" i="25"/>
  <c r="D14" i="25"/>
  <c r="AN13" i="24"/>
  <c r="AU3" i="24"/>
  <c r="AO4" i="24"/>
  <c r="AO13" i="24"/>
  <c r="AP2" i="24"/>
  <c r="C12" i="23"/>
  <c r="H12" i="23"/>
  <c r="P12" i="23"/>
  <c r="L12" i="23"/>
  <c r="K12" i="23"/>
  <c r="G12" i="23"/>
  <c r="S12" i="23"/>
  <c r="O12" i="23"/>
  <c r="E12" i="23"/>
  <c r="J12" i="23"/>
  <c r="R12" i="23"/>
  <c r="N12" i="23"/>
  <c r="AJ8" i="23"/>
  <c r="AJ9" i="23"/>
  <c r="AJ7" i="23"/>
  <c r="AH8" i="23"/>
  <c r="AH9" i="23"/>
  <c r="AH7" i="23"/>
  <c r="C8" i="23"/>
  <c r="C9" i="23"/>
  <c r="C7" i="23"/>
  <c r="B8" i="23"/>
  <c r="B9" i="23"/>
  <c r="B7" i="23"/>
  <c r="AI8" i="23"/>
  <c r="AI9" i="23"/>
  <c r="AI7" i="23"/>
  <c r="AM1" i="23"/>
  <c r="D13" i="16"/>
  <c r="J1" i="23"/>
  <c r="M1" i="23"/>
  <c r="BC1" i="23"/>
  <c r="D1" i="23"/>
  <c r="G1" i="23"/>
  <c r="AV1" i="23"/>
  <c r="Q1" i="23"/>
  <c r="AO1" i="23"/>
  <c r="AD1" i="23"/>
  <c r="BA1" i="23"/>
  <c r="AJ1" i="23"/>
  <c r="AR1" i="23"/>
  <c r="AB1" i="23"/>
  <c r="L1" i="23"/>
  <c r="R1" i="23"/>
  <c r="C1" i="23"/>
  <c r="AU1" i="23"/>
  <c r="AX1" i="23"/>
  <c r="BB1" i="23"/>
  <c r="AK1" i="23"/>
  <c r="E1" i="23"/>
  <c r="AP1" i="23"/>
  <c r="AF1" i="23"/>
  <c r="B1" i="23"/>
  <c r="AQ1" i="23"/>
  <c r="B10" i="23"/>
  <c r="B11" i="23"/>
  <c r="C10" i="23"/>
  <c r="C11" i="23"/>
  <c r="AI10" i="23"/>
  <c r="AI11" i="23"/>
  <c r="AH10" i="23"/>
  <c r="AH11" i="23"/>
  <c r="AJ10" i="23"/>
  <c r="AJ11" i="23"/>
  <c r="M4" i="20"/>
  <c r="C13" i="25"/>
  <c r="AG1" i="23"/>
  <c r="AH1" i="23"/>
  <c r="AC1" i="23"/>
  <c r="U1" i="23"/>
  <c r="AI1" i="23"/>
  <c r="AW1" i="23"/>
  <c r="V1" i="23"/>
  <c r="P1" i="23"/>
  <c r="K1" i="23"/>
  <c r="AS1" i="23"/>
  <c r="I1" i="23"/>
  <c r="AE1" i="23"/>
  <c r="F1" i="23"/>
  <c r="T1" i="23"/>
  <c r="AY1" i="23"/>
  <c r="AN1" i="23"/>
  <c r="N1" i="23"/>
  <c r="Z1" i="23"/>
  <c r="X1" i="23"/>
  <c r="V13" i="24"/>
  <c r="M2" i="21"/>
  <c r="M4" i="21"/>
  <c r="N3" i="21"/>
  <c r="N3" i="20"/>
  <c r="N2" i="25"/>
  <c r="N4" i="25"/>
  <c r="C15" i="25"/>
  <c r="Q3" i="25"/>
  <c r="O2" i="25"/>
  <c r="T16" i="24"/>
  <c r="T14" i="24"/>
  <c r="S16" i="24"/>
  <c r="S14" i="24"/>
  <c r="T13" i="24"/>
  <c r="S13" i="24"/>
  <c r="N14" i="24"/>
  <c r="N16" i="24"/>
  <c r="O13" i="24"/>
  <c r="AN9" i="23"/>
  <c r="AP4" i="24"/>
  <c r="AQ2" i="24"/>
  <c r="AV3" i="24"/>
  <c r="AO9" i="23"/>
  <c r="N13" i="25"/>
  <c r="W13" i="24"/>
  <c r="O3" i="21"/>
  <c r="N2" i="21"/>
  <c r="N4" i="21"/>
  <c r="O3" i="20"/>
  <c r="N2" i="20"/>
  <c r="O2" i="20"/>
  <c r="P2" i="25"/>
  <c r="Q2" i="25"/>
  <c r="Q4" i="25"/>
  <c r="Q13" i="25"/>
  <c r="O14" i="25"/>
  <c r="O16" i="25"/>
  <c r="N16" i="25"/>
  <c r="N14" i="25"/>
  <c r="O4" i="25"/>
  <c r="O13" i="25"/>
  <c r="R3" i="25"/>
  <c r="S15" i="24"/>
  <c r="T15" i="24"/>
  <c r="P14" i="24"/>
  <c r="P13" i="24"/>
  <c r="P16" i="24"/>
  <c r="O16" i="24"/>
  <c r="O14" i="24"/>
  <c r="P15" i="24"/>
  <c r="Q13" i="24"/>
  <c r="O15" i="24"/>
  <c r="AW3" i="24"/>
  <c r="AQ4" i="24"/>
  <c r="AR2" i="24"/>
  <c r="AP13" i="24"/>
  <c r="X13" i="24"/>
  <c r="P3" i="21"/>
  <c r="O2" i="21"/>
  <c r="O4" i="21"/>
  <c r="N4" i="20"/>
  <c r="O4" i="20"/>
  <c r="P3" i="20"/>
  <c r="Q14" i="25"/>
  <c r="Q16" i="25"/>
  <c r="N15" i="25"/>
  <c r="O15" i="25"/>
  <c r="P14" i="25"/>
  <c r="P16" i="25"/>
  <c r="P4" i="25"/>
  <c r="S3" i="25"/>
  <c r="R2" i="25"/>
  <c r="R4" i="25"/>
  <c r="Q14" i="24"/>
  <c r="Q16" i="24"/>
  <c r="AQ13" i="24"/>
  <c r="AP9" i="23"/>
  <c r="AR4" i="24"/>
  <c r="AR13" i="24"/>
  <c r="AS2" i="24"/>
  <c r="R13" i="25"/>
  <c r="P13" i="25"/>
  <c r="Y13" i="24"/>
  <c r="Q3" i="21"/>
  <c r="P2" i="21"/>
  <c r="P4" i="21"/>
  <c r="P2" i="20"/>
  <c r="P4" i="20"/>
  <c r="Q3" i="20"/>
  <c r="R16" i="25"/>
  <c r="R14" i="25"/>
  <c r="P15" i="25"/>
  <c r="Q15" i="25"/>
  <c r="T3" i="25"/>
  <c r="U3" i="25"/>
  <c r="S2" i="25"/>
  <c r="S4" i="25"/>
  <c r="R14" i="24"/>
  <c r="R16" i="24"/>
  <c r="R13" i="24"/>
  <c r="Q15" i="24"/>
  <c r="A1" i="31"/>
  <c r="C13" i="30"/>
  <c r="C14" i="30"/>
  <c r="D3" i="31"/>
  <c r="E13" i="30"/>
  <c r="C7" i="29"/>
  <c r="G12" i="30"/>
  <c r="E12" i="30"/>
  <c r="D12" i="30"/>
  <c r="E11" i="30"/>
  <c r="D11" i="30"/>
  <c r="E10" i="30"/>
  <c r="D10" i="30"/>
  <c r="E9" i="30"/>
  <c r="D9" i="30"/>
  <c r="E8" i="30"/>
  <c r="D8" i="30"/>
  <c r="E7" i="30"/>
  <c r="D7" i="30"/>
  <c r="D6" i="30"/>
  <c r="D5" i="30"/>
  <c r="I7" i="29"/>
  <c r="I5" i="29"/>
  <c r="G8" i="30"/>
  <c r="D6" i="23"/>
  <c r="D7" i="23"/>
  <c r="E6" i="23"/>
  <c r="E7" i="23"/>
  <c r="F6" i="23"/>
  <c r="F7" i="23"/>
  <c r="G6" i="23"/>
  <c r="G7" i="23"/>
  <c r="H6" i="23"/>
  <c r="H7" i="23"/>
  <c r="I6" i="23"/>
  <c r="I7" i="23"/>
  <c r="V6" i="23"/>
  <c r="W6" i="23"/>
  <c r="X6" i="23"/>
  <c r="Y6" i="23"/>
  <c r="Z6" i="23"/>
  <c r="AA6" i="23"/>
  <c r="AB6" i="23"/>
  <c r="AC6" i="23"/>
  <c r="AD6" i="23"/>
  <c r="AE6" i="23"/>
  <c r="AF8" i="23"/>
  <c r="AF9" i="23"/>
  <c r="AG6" i="23"/>
  <c r="K6" i="23"/>
  <c r="K7" i="23"/>
  <c r="L6" i="23"/>
  <c r="L7" i="23"/>
  <c r="M6" i="23"/>
  <c r="M7" i="23"/>
  <c r="N6" i="23"/>
  <c r="N7" i="23"/>
  <c r="O6" i="23"/>
  <c r="P6" i="23"/>
  <c r="Q6" i="23"/>
  <c r="R6" i="23"/>
  <c r="S6" i="23"/>
  <c r="T6" i="23"/>
  <c r="U6" i="23"/>
  <c r="J6" i="23"/>
  <c r="J7" i="23"/>
  <c r="AS4" i="24"/>
  <c r="AT2" i="24"/>
  <c r="AQ9" i="23"/>
  <c r="U8" i="23"/>
  <c r="U9" i="23"/>
  <c r="U7" i="23"/>
  <c r="Q8" i="23"/>
  <c r="Q9" i="23"/>
  <c r="Q7" i="23"/>
  <c r="T8" i="23"/>
  <c r="T9" i="23"/>
  <c r="T7" i="23"/>
  <c r="P8" i="23"/>
  <c r="P9" i="23"/>
  <c r="P7" i="23"/>
  <c r="AE8" i="23"/>
  <c r="AE9" i="23"/>
  <c r="AE7" i="23"/>
  <c r="AA8" i="23"/>
  <c r="AA9" i="23"/>
  <c r="AA7" i="23"/>
  <c r="W8" i="23"/>
  <c r="W9" i="23"/>
  <c r="W7" i="23"/>
  <c r="AB8" i="23"/>
  <c r="AB9" i="23"/>
  <c r="AB7" i="23"/>
  <c r="X8" i="23"/>
  <c r="X9" i="23"/>
  <c r="X7" i="23"/>
  <c r="S8" i="23"/>
  <c r="S9" i="23"/>
  <c r="S7" i="23"/>
  <c r="O8" i="23"/>
  <c r="O9" i="23"/>
  <c r="O7" i="23"/>
  <c r="AD8" i="23"/>
  <c r="AD9" i="23"/>
  <c r="AD7" i="23"/>
  <c r="Z8" i="23"/>
  <c r="Z9" i="23"/>
  <c r="Z7" i="23"/>
  <c r="V8" i="23"/>
  <c r="V9" i="23"/>
  <c r="V7" i="23"/>
  <c r="R8" i="23"/>
  <c r="R9" i="23"/>
  <c r="R7" i="23"/>
  <c r="AG8" i="23"/>
  <c r="AG9" i="23"/>
  <c r="AG7" i="23"/>
  <c r="AC8" i="23"/>
  <c r="AC9" i="23"/>
  <c r="AC7" i="23"/>
  <c r="Y8" i="23"/>
  <c r="Y9" i="23"/>
  <c r="Y7" i="23"/>
  <c r="Q10" i="23"/>
  <c r="Q11" i="23"/>
  <c r="P10" i="23"/>
  <c r="P11" i="23"/>
  <c r="AD10" i="23"/>
  <c r="AD11" i="23"/>
  <c r="AB10" i="23"/>
  <c r="AB11" i="23"/>
  <c r="AC10" i="23"/>
  <c r="AC11" i="23"/>
  <c r="Z10" i="23"/>
  <c r="Z11" i="23"/>
  <c r="Y10" i="23"/>
  <c r="Y11" i="23"/>
  <c r="X10" i="23"/>
  <c r="X11" i="23"/>
  <c r="W10" i="23"/>
  <c r="W11" i="23"/>
  <c r="S10" i="23"/>
  <c r="V10" i="23"/>
  <c r="V11" i="23"/>
  <c r="R10" i="23"/>
  <c r="I8" i="23"/>
  <c r="I9" i="23"/>
  <c r="H8" i="23"/>
  <c r="H9" i="23"/>
  <c r="G8" i="23"/>
  <c r="G9" i="23"/>
  <c r="F8" i="23"/>
  <c r="F9" i="23"/>
  <c r="N8" i="23"/>
  <c r="N9" i="23"/>
  <c r="E8" i="23"/>
  <c r="E9" i="23"/>
  <c r="M8" i="23"/>
  <c r="M9" i="23"/>
  <c r="D8" i="23"/>
  <c r="D9" i="23"/>
  <c r="L8" i="23"/>
  <c r="L9" i="23"/>
  <c r="K8" i="23"/>
  <c r="K9" i="23"/>
  <c r="AG10" i="23"/>
  <c r="AG11" i="23"/>
  <c r="AA10" i="23"/>
  <c r="AA11" i="23"/>
  <c r="J8" i="23"/>
  <c r="J9" i="23"/>
  <c r="U10" i="23"/>
  <c r="U11" i="23"/>
  <c r="T10" i="23"/>
  <c r="T11" i="23"/>
  <c r="AF10" i="23"/>
  <c r="AF11" i="23"/>
  <c r="AE10" i="23"/>
  <c r="AE11" i="23"/>
  <c r="S13" i="25"/>
  <c r="V3" i="25"/>
  <c r="O10" i="23"/>
  <c r="O11" i="23"/>
  <c r="R3" i="21"/>
  <c r="Q2" i="21"/>
  <c r="Q4" i="21"/>
  <c r="Q2" i="20"/>
  <c r="Q4" i="20"/>
  <c r="R3" i="20"/>
  <c r="S14" i="25"/>
  <c r="S16" i="25"/>
  <c r="T2" i="25"/>
  <c r="T4" i="25"/>
  <c r="T13" i="25"/>
  <c r="R15" i="25"/>
  <c r="R15" i="24"/>
  <c r="I9" i="29"/>
  <c r="C15" i="30"/>
  <c r="E14" i="30"/>
  <c r="AT4" i="24"/>
  <c r="AU2" i="24"/>
  <c r="AS13" i="24"/>
  <c r="AR9" i="23"/>
  <c r="R11" i="23"/>
  <c r="M10" i="23"/>
  <c r="M11" i="23"/>
  <c r="D10" i="23"/>
  <c r="D11" i="23"/>
  <c r="E10" i="23"/>
  <c r="E11" i="23"/>
  <c r="F10" i="23"/>
  <c r="F11" i="23"/>
  <c r="G10" i="23"/>
  <c r="G11" i="23"/>
  <c r="J10" i="23"/>
  <c r="J11" i="23"/>
  <c r="K10" i="23"/>
  <c r="K11" i="23"/>
  <c r="H10" i="23"/>
  <c r="H11" i="23"/>
  <c r="L10" i="23"/>
  <c r="L11" i="23"/>
  <c r="N10" i="23"/>
  <c r="N11" i="23"/>
  <c r="I10" i="23"/>
  <c r="I11" i="23"/>
  <c r="W3" i="25"/>
  <c r="U2" i="25"/>
  <c r="U4" i="25"/>
  <c r="S3" i="21"/>
  <c r="R2" i="21"/>
  <c r="R4" i="21"/>
  <c r="R2" i="20"/>
  <c r="R4" i="20"/>
  <c r="S3" i="20"/>
  <c r="T3" i="20"/>
  <c r="S15" i="25"/>
  <c r="T14" i="25"/>
  <c r="S11" i="23"/>
  <c r="T16" i="25"/>
  <c r="C16" i="30"/>
  <c r="E15" i="30"/>
  <c r="F14" i="30"/>
  <c r="B3" i="31"/>
  <c r="AU4" i="24"/>
  <c r="AV2" i="24"/>
  <c r="AT13" i="24"/>
  <c r="AT9" i="23"/>
  <c r="T3" i="21"/>
  <c r="T2" i="20"/>
  <c r="T4" i="20"/>
  <c r="U3" i="20"/>
  <c r="U13" i="25"/>
  <c r="V2" i="25"/>
  <c r="V4" i="25"/>
  <c r="V13" i="25"/>
  <c r="X3" i="25"/>
  <c r="S2" i="21"/>
  <c r="S4" i="21"/>
  <c r="S2" i="20"/>
  <c r="S4" i="20"/>
  <c r="T15" i="25"/>
  <c r="E16" i="30"/>
  <c r="C17" i="30"/>
  <c r="AV4" i="24"/>
  <c r="AV13" i="24"/>
  <c r="AW2" i="24"/>
  <c r="AW4" i="24"/>
  <c r="AW13" i="24"/>
  <c r="AU13" i="24"/>
  <c r="AU9" i="23"/>
  <c r="T2" i="21"/>
  <c r="T4" i="21"/>
  <c r="U3" i="21"/>
  <c r="U2" i="20"/>
  <c r="U4" i="20"/>
  <c r="V3" i="20"/>
  <c r="Y3" i="25"/>
  <c r="W2" i="25"/>
  <c r="W4" i="25"/>
  <c r="E17" i="30"/>
  <c r="C18" i="30"/>
  <c r="AS9" i="23"/>
  <c r="AV9" i="23"/>
  <c r="V3" i="21"/>
  <c r="U2" i="21"/>
  <c r="U4" i="21"/>
  <c r="W3" i="20"/>
  <c r="X3" i="20"/>
  <c r="V2" i="20"/>
  <c r="W2" i="20"/>
  <c r="W4" i="20"/>
  <c r="W13" i="25"/>
  <c r="X2" i="25"/>
  <c r="X4" i="25"/>
  <c r="Z3" i="25"/>
  <c r="Y2" i="25"/>
  <c r="Y4" i="25"/>
  <c r="Y13" i="25"/>
  <c r="E18" i="30"/>
  <c r="C19" i="30"/>
  <c r="W3" i="21"/>
  <c r="X3" i="21"/>
  <c r="V2" i="21"/>
  <c r="W2" i="21"/>
  <c r="W4" i="21"/>
  <c r="V4" i="20"/>
  <c r="X2" i="20"/>
  <c r="Y3" i="20"/>
  <c r="X4" i="20"/>
  <c r="AA3" i="25"/>
  <c r="Z2" i="25"/>
  <c r="Z4" i="25"/>
  <c r="Z13" i="25"/>
  <c r="X13" i="25"/>
  <c r="E19" i="30"/>
  <c r="C20" i="30"/>
  <c r="V4" i="21"/>
  <c r="Y3" i="21"/>
  <c r="X2" i="21"/>
  <c r="X4" i="21"/>
  <c r="Y4" i="20"/>
  <c r="Z3" i="20"/>
  <c r="AA2" i="25"/>
  <c r="AB3" i="25"/>
  <c r="AA4" i="25"/>
  <c r="E20" i="30"/>
  <c r="C21" i="30"/>
  <c r="Y2" i="21"/>
  <c r="Y4" i="21"/>
  <c r="Z3" i="21"/>
  <c r="Z2" i="20"/>
  <c r="Z4" i="20"/>
  <c r="AA3" i="20"/>
  <c r="AA13" i="25"/>
  <c r="AC3" i="25"/>
  <c r="AB2" i="25"/>
  <c r="AB4" i="25"/>
  <c r="E21" i="30"/>
  <c r="C22" i="30"/>
  <c r="AA3" i="21"/>
  <c r="Z2" i="21"/>
  <c r="Z4" i="21"/>
  <c r="AA2" i="20"/>
  <c r="AA4" i="20"/>
  <c r="AB3" i="20"/>
  <c r="AB13" i="25"/>
  <c r="AD3" i="25"/>
  <c r="AC2" i="25"/>
  <c r="AC4" i="25"/>
  <c r="AC13" i="25"/>
  <c r="E22" i="30"/>
  <c r="C23" i="30"/>
  <c r="AA2" i="21"/>
  <c r="AA4" i="21"/>
  <c r="AB3" i="21"/>
  <c r="AB2" i="20"/>
  <c r="AC3" i="20"/>
  <c r="AB4" i="20"/>
  <c r="AE3" i="25"/>
  <c r="AD2" i="25"/>
  <c r="AD4" i="25"/>
  <c r="AD13" i="25"/>
  <c r="E23" i="30"/>
  <c r="C24" i="30"/>
  <c r="AC3" i="21"/>
  <c r="AB2" i="21"/>
  <c r="AB4" i="21"/>
  <c r="AC2" i="20"/>
  <c r="AD3" i="20"/>
  <c r="AC4" i="20"/>
  <c r="AE2" i="25"/>
  <c r="AE4" i="25"/>
  <c r="AE13" i="25"/>
  <c r="AF3" i="25"/>
  <c r="E24" i="30"/>
  <c r="C25" i="30"/>
  <c r="AD3" i="21"/>
  <c r="AC2" i="21"/>
  <c r="AC4" i="21"/>
  <c r="AD2" i="20"/>
  <c r="AD4" i="20"/>
  <c r="AE3" i="20"/>
  <c r="AF2" i="25"/>
  <c r="AF4" i="25"/>
  <c r="AF13" i="25"/>
  <c r="AG3" i="25"/>
  <c r="E25" i="30"/>
  <c r="C26" i="30"/>
  <c r="AD2" i="21"/>
  <c r="AE3" i="21"/>
  <c r="AD4" i="21"/>
  <c r="AF3" i="20"/>
  <c r="AE2" i="20"/>
  <c r="AE4" i="20"/>
  <c r="AG2" i="25"/>
  <c r="AG4" i="25"/>
  <c r="AG13" i="25"/>
  <c r="AH3" i="25"/>
  <c r="C27" i="30"/>
  <c r="D4" i="31"/>
  <c r="C4" i="31"/>
  <c r="E26" i="30"/>
  <c r="AF3" i="21"/>
  <c r="AE2" i="21"/>
  <c r="AE4" i="21"/>
  <c r="AG3" i="20"/>
  <c r="AF2" i="20"/>
  <c r="AF4" i="20"/>
  <c r="AI3" i="25"/>
  <c r="AH2" i="25"/>
  <c r="AH4" i="25"/>
  <c r="AH13" i="25"/>
  <c r="F26" i="30"/>
  <c r="B4" i="31"/>
  <c r="C28" i="30"/>
  <c r="E27" i="30"/>
  <c r="AF2" i="21"/>
  <c r="AF4" i="21"/>
  <c r="AG3" i="21"/>
  <c r="AH3" i="20"/>
  <c r="AG2" i="20"/>
  <c r="AG4" i="20"/>
  <c r="AI2" i="25"/>
  <c r="AI4" i="25"/>
  <c r="AI13" i="25"/>
  <c r="AJ3" i="25"/>
  <c r="C29" i="30"/>
  <c r="E28" i="30"/>
  <c r="AG4" i="21"/>
  <c r="AG2" i="21"/>
  <c r="AH3" i="21"/>
  <c r="AI3" i="20"/>
  <c r="AH2" i="20"/>
  <c r="AH4" i="20"/>
  <c r="AK3" i="25"/>
  <c r="AJ2" i="25"/>
  <c r="AJ4" i="25"/>
  <c r="AJ13" i="25"/>
  <c r="C30" i="30"/>
  <c r="E29" i="30"/>
  <c r="AI3" i="21"/>
  <c r="AH2" i="21"/>
  <c r="AH4" i="21"/>
  <c r="AJ3" i="20"/>
  <c r="AI2" i="20"/>
  <c r="AI4" i="20"/>
  <c r="AK2" i="25"/>
  <c r="AK4" i="25"/>
  <c r="AK13" i="25"/>
  <c r="AL3" i="25"/>
  <c r="C31" i="30"/>
  <c r="E30" i="30"/>
  <c r="AJ3" i="21"/>
  <c r="AI2" i="21"/>
  <c r="AI4" i="21"/>
  <c r="AK3" i="20"/>
  <c r="AJ2" i="20"/>
  <c r="AJ4" i="20"/>
  <c r="AL2" i="25"/>
  <c r="AL4" i="25"/>
  <c r="AL13" i="25"/>
  <c r="C32" i="30"/>
  <c r="E31" i="30"/>
  <c r="AJ2" i="21"/>
  <c r="AJ4" i="21"/>
  <c r="AK3" i="21"/>
  <c r="AK2" i="21"/>
  <c r="AK4" i="21"/>
  <c r="AK2" i="20"/>
  <c r="AK4" i="20"/>
  <c r="C33" i="30"/>
  <c r="E32" i="30"/>
  <c r="C34" i="30"/>
  <c r="E33" i="30"/>
  <c r="E9" i="16"/>
  <c r="E10" i="16"/>
  <c r="F9" i="16"/>
  <c r="C35" i="30"/>
  <c r="E34" i="30"/>
  <c r="C36" i="30"/>
  <c r="E35" i="30"/>
  <c r="C37" i="30"/>
  <c r="E36" i="30"/>
  <c r="C38" i="30"/>
  <c r="E37" i="30"/>
  <c r="D5" i="31"/>
  <c r="C5" i="31"/>
  <c r="C39" i="30"/>
  <c r="E38" i="30"/>
  <c r="E39" i="30"/>
  <c r="C40" i="30"/>
  <c r="B5" i="31"/>
  <c r="F38" i="30"/>
  <c r="E40" i="30"/>
  <c r="C41" i="30"/>
  <c r="E41" i="30"/>
  <c r="C42" i="30"/>
  <c r="E42" i="30"/>
  <c r="C43" i="30"/>
  <c r="E43" i="30"/>
  <c r="C44" i="30"/>
  <c r="E44" i="30"/>
  <c r="C45" i="30"/>
  <c r="E45" i="30"/>
  <c r="C46" i="30"/>
  <c r="E46" i="30"/>
  <c r="C47" i="30"/>
  <c r="E47" i="30"/>
  <c r="C48" i="30"/>
  <c r="E48" i="30"/>
  <c r="C49" i="30"/>
  <c r="E49" i="30"/>
  <c r="C50" i="30"/>
  <c r="C51" i="30"/>
  <c r="D6" i="31"/>
  <c r="C6" i="31"/>
  <c r="E50" i="30"/>
  <c r="F50" i="30"/>
  <c r="B6" i="31"/>
  <c r="C52" i="30"/>
  <c r="E51" i="30"/>
  <c r="C53" i="30"/>
  <c r="E52" i="30"/>
  <c r="C54" i="30"/>
  <c r="E53" i="30"/>
  <c r="C55" i="30"/>
  <c r="E54" i="30"/>
  <c r="C56" i="30"/>
  <c r="E55" i="30"/>
  <c r="C57" i="30"/>
  <c r="E56" i="30"/>
  <c r="C58" i="30"/>
  <c r="E57" i="30"/>
  <c r="C59" i="30"/>
  <c r="E58" i="30"/>
  <c r="C60" i="30"/>
  <c r="E59" i="30"/>
  <c r="C61" i="30"/>
  <c r="E60" i="30"/>
  <c r="C62" i="30"/>
  <c r="E61" i="30"/>
  <c r="D7" i="31"/>
  <c r="C7" i="31"/>
  <c r="E62" i="30"/>
  <c r="B7" i="31"/>
  <c r="I9" i="16"/>
  <c r="H9" i="16"/>
  <c r="G9" i="16"/>
  <c r="AW5" i="23"/>
  <c r="AX5" i="23"/>
  <c r="AY5" i="23"/>
  <c r="AZ5" i="23"/>
  <c r="BA5" i="23"/>
  <c r="BB5" i="23"/>
  <c r="BC5" i="23"/>
  <c r="BD5" i="23"/>
  <c r="BE5" i="23"/>
  <c r="BF5" i="23"/>
  <c r="BG5" i="23"/>
  <c r="BH5" i="23"/>
  <c r="I10" i="16"/>
  <c r="H10" i="16"/>
  <c r="G10" i="16"/>
  <c r="B5" i="16"/>
  <c r="AX7" i="23"/>
  <c r="BI5" i="23"/>
  <c r="BD11" i="23"/>
  <c r="BA11" i="23"/>
  <c r="AY11" i="23"/>
  <c r="AW11" i="23"/>
  <c r="BF11" i="23"/>
  <c r="BF9" i="23"/>
  <c r="BG9" i="23"/>
  <c r="BG11" i="23"/>
  <c r="AW9" i="23"/>
  <c r="AY9" i="23"/>
  <c r="AZ9" i="23"/>
  <c r="BA9" i="23"/>
  <c r="BB11" i="23"/>
  <c r="AX11" i="23"/>
  <c r="AZ11" i="23"/>
  <c r="BC9" i="23"/>
  <c r="BE11" i="23"/>
  <c r="BB9" i="23"/>
  <c r="BD9" i="23"/>
  <c r="AX9" i="23"/>
  <c r="BC11" i="23"/>
  <c r="BE9" i="23"/>
  <c r="BH9" i="23"/>
  <c r="BH11" i="23"/>
  <c r="AY7" i="23"/>
  <c r="AZ7" i="23"/>
  <c r="BH7" i="23"/>
  <c r="BD7" i="23"/>
  <c r="BB7" i="23"/>
  <c r="BE7" i="23"/>
  <c r="AW7" i="23"/>
  <c r="G12" i="16"/>
  <c r="BA7" i="23"/>
  <c r="G11" i="16"/>
  <c r="BC7" i="23"/>
  <c r="BF7" i="23"/>
  <c r="BG7" i="23"/>
  <c r="BJ5" i="23"/>
  <c r="BI11" i="23"/>
  <c r="BI9" i="23"/>
  <c r="BI7" i="23"/>
  <c r="H11" i="16"/>
  <c r="I12" i="16"/>
  <c r="H12" i="16"/>
  <c r="I11" i="16"/>
  <c r="BK5" i="23"/>
  <c r="BJ11" i="23"/>
  <c r="BJ9" i="23"/>
  <c r="BJ7" i="23"/>
  <c r="BL5" i="23"/>
  <c r="BK11" i="23"/>
  <c r="BK9" i="23"/>
  <c r="BK7" i="23"/>
  <c r="BM5" i="23"/>
  <c r="BL11" i="23"/>
  <c r="BL9" i="23"/>
  <c r="BL7" i="23"/>
  <c r="BN5" i="23"/>
  <c r="BM11" i="23"/>
  <c r="BM9" i="23"/>
  <c r="BM7" i="23"/>
  <c r="BO5" i="23"/>
  <c r="BN9" i="23"/>
  <c r="BN11" i="23"/>
  <c r="BN7" i="23"/>
  <c r="BP5" i="23"/>
  <c r="BO11" i="23"/>
  <c r="BO9" i="23"/>
  <c r="BO7" i="23"/>
  <c r="BQ5" i="23"/>
  <c r="F13" i="16"/>
  <c r="BP11" i="23"/>
  <c r="BP9" i="23"/>
  <c r="BP7" i="23"/>
  <c r="E13" i="16"/>
  <c r="BQ11" i="23"/>
  <c r="I13" i="16"/>
  <c r="BQ9" i="23"/>
  <c r="H13" i="16"/>
  <c r="BQ7" i="23"/>
  <c r="G13" i="16"/>
  <c r="F11" i="16"/>
  <c r="E12" i="16"/>
  <c r="F1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9157 of 10865 at time of analysis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F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Actual average discount as of time of analysis</t>
        </r>
      </text>
    </comment>
  </commentList>
</comments>
</file>

<file path=xl/sharedStrings.xml><?xml version="1.0" encoding="utf-8"?>
<sst xmlns="http://schemas.openxmlformats.org/spreadsheetml/2006/main" count="255" uniqueCount="141">
  <si>
    <t>For:</t>
  </si>
  <si>
    <t>Philadelphia Water Department</t>
  </si>
  <si>
    <t>By:</t>
  </si>
  <si>
    <t>Sheet Name</t>
  </si>
  <si>
    <t>Description</t>
  </si>
  <si>
    <t>Table of Contents</t>
  </si>
  <si>
    <t>List of each sheet in the workbook</t>
  </si>
  <si>
    <t>TRR_Summary</t>
  </si>
  <si>
    <t>Summary of assumptions and results by period of major variables requested of Raftelis</t>
  </si>
  <si>
    <t>TRR_Projections</t>
  </si>
  <si>
    <t>Results by month of major variables requested of Raftelis</t>
  </si>
  <si>
    <t>Data Source</t>
  </si>
  <si>
    <t>Description of data source for reports DR-1, DR-2, DR-3A Participants, and DR-4</t>
  </si>
  <si>
    <t>DR_1</t>
  </si>
  <si>
    <t xml:space="preserve">Water Monthly Retail Billed Volume </t>
  </si>
  <si>
    <t>DR_2</t>
  </si>
  <si>
    <t>Sewer Monthly Retail Billed Volume</t>
  </si>
  <si>
    <t>DR_3A Participants</t>
  </si>
  <si>
    <t>Monthly Number of TAP Participants</t>
  </si>
  <si>
    <t>DR_4</t>
  </si>
  <si>
    <t>Monthly Total TAP Discount Amount</t>
  </si>
  <si>
    <t>Assumptions used to develop the Results below</t>
  </si>
  <si>
    <t>Assumption or scenario type</t>
  </si>
  <si>
    <t>Scenario</t>
  </si>
  <si>
    <t>TAP Subscription Projection</t>
  </si>
  <si>
    <t>Increasing</t>
  </si>
  <si>
    <t>owing to continued prequalification and recertification change</t>
  </si>
  <si>
    <t>Monthly Cost per TAP Participant*</t>
  </si>
  <si>
    <t>and projected to be stable over time</t>
  </si>
  <si>
    <t>Monthly Consumption per TAP Participant*</t>
  </si>
  <si>
    <t>CF and projected to be stable over time</t>
  </si>
  <si>
    <t>*Per Participant Data (Most Recent Period - Actual Data)</t>
  </si>
  <si>
    <t>Average Monthly Number of TAP Participants</t>
  </si>
  <si>
    <t>Total Number of TAP Participants</t>
  </si>
  <si>
    <t>Total TAP Discount</t>
  </si>
  <si>
    <t>Total TAP Water Consumption (CCF)</t>
  </si>
  <si>
    <t>Total TAP Sewer Consumption (CCF)</t>
  </si>
  <si>
    <t>Reconciled Period - Actual</t>
  </si>
  <si>
    <t>to</t>
  </si>
  <si>
    <t>Most Recent Period - Actual</t>
  </si>
  <si>
    <t>Most Recent Period - Projected</t>
  </si>
  <si>
    <t>Most Recent Period - Entire</t>
  </si>
  <si>
    <t>Next Rate Period</t>
  </si>
  <si>
    <t>Data Type</t>
  </si>
  <si>
    <t>Actual</t>
  </si>
  <si>
    <t>Projected</t>
  </si>
  <si>
    <t>Projected Increase in Participants</t>
  </si>
  <si>
    <t>Participants</t>
  </si>
  <si>
    <t>Total Participants</t>
  </si>
  <si>
    <t>Discount</t>
  </si>
  <si>
    <t>Total Discounts</t>
  </si>
  <si>
    <t>Water Consumption</t>
  </si>
  <si>
    <t>Sewer Consumption</t>
  </si>
  <si>
    <t>Data in DR_1, DR_2, DR_3A Participants, and DR_4 are from reports run on a static copy of basis2 captured on</t>
  </si>
  <si>
    <t>Data aquired for months</t>
  </si>
  <si>
    <t>January 2021</t>
  </si>
  <si>
    <t>through</t>
  </si>
  <si>
    <t>November 2024</t>
  </si>
  <si>
    <t>=HLOOKUP(CONCAT(TEXT(AO6,"MMMM YYYYY"), " Discount"),DR_4!'Data Source'!H13$B$4:$AV$9,6,FALSE)</t>
  </si>
  <si>
    <t>Customer Group</t>
  </si>
  <si>
    <t>Discount Group</t>
  </si>
  <si>
    <t>TAP</t>
  </si>
  <si>
    <t>All Groups</t>
  </si>
  <si>
    <t>Non-TAP</t>
  </si>
  <si>
    <t>Senior Discount*</t>
  </si>
  <si>
    <t>PHA Discount</t>
  </si>
  <si>
    <t>Non-PHA Discount (Other discount)</t>
  </si>
  <si>
    <t>No Additional Discount</t>
  </si>
  <si>
    <t>PWD (not subject to reconciliation)</t>
  </si>
  <si>
    <t>PWD</t>
  </si>
  <si>
    <t>Water Billed Volume Subtotals, by Customer Group</t>
  </si>
  <si>
    <t xml:space="preserve">*Senior Citizen Discount figures represent only those Senior Citizen Discount customers not enrolled in TAP. </t>
  </si>
  <si>
    <t>Senior Citizen Discount customers enrolled in TAP are included in the TAP Customer Group.</t>
  </si>
  <si>
    <t>Sewer Billed Volume Subtotals, by Customer Group</t>
  </si>
  <si>
    <t>Customer Type</t>
  </si>
  <si>
    <t>PHA</t>
  </si>
  <si>
    <t>Non-PHA</t>
  </si>
  <si>
    <t>No Discount</t>
  </si>
  <si>
    <t>All</t>
  </si>
  <si>
    <t xml:space="preserve">*Senior Citizen Discount figures represent only those Senior Citizen Discount customers enrolled in TAP. </t>
  </si>
  <si>
    <t>Senior Citizen Discount customers not enrolled in TAP are not counted among TAP Participants.</t>
  </si>
  <si>
    <t>Senior Discount</t>
  </si>
  <si>
    <t>Section 1) Activity on Applications Submitted between 11/5/2017 and 11/11/2017</t>
  </si>
  <si>
    <t>Total Submitted:</t>
  </si>
  <si>
    <t>Pending -&gt; In Progress</t>
  </si>
  <si>
    <t>In Progress</t>
  </si>
  <si>
    <t>Of Applications Submitted between 11/5/2017 and 11/11/2017, Status as of 11/11/2017 is:</t>
  </si>
  <si>
    <t>In Progress:</t>
  </si>
  <si>
    <t>Section 2) Status Changes between 11/5/2017 and 11/11/2017 on Applications Submitted before 11/5/2017</t>
  </si>
  <si>
    <t>Incomplete -&gt; In Progress</t>
  </si>
  <si>
    <t>Exception -&gt; In Progress</t>
  </si>
  <si>
    <t>Incomplete:</t>
  </si>
  <si>
    <t>In Progress -&gt; Incomplete</t>
  </si>
  <si>
    <t>Denied:</t>
  </si>
  <si>
    <t>In Progress -&gt; Denied</t>
  </si>
  <si>
    <t>Incomplete -&gt; Denied</t>
  </si>
  <si>
    <t>Exception:</t>
  </si>
  <si>
    <t>In Progress -&gt; Exception</t>
  </si>
  <si>
    <t>Approved:</t>
  </si>
  <si>
    <t>In Progress -&gt; Approved</t>
  </si>
  <si>
    <t>Active:</t>
  </si>
  <si>
    <t>In Progress -&gt; Active</t>
  </si>
  <si>
    <t>Incomplete -&gt; Active</t>
  </si>
  <si>
    <t>Approved -&gt; Active</t>
  </si>
  <si>
    <t>Closed:</t>
  </si>
  <si>
    <t>Active -&gt; Closed</t>
  </si>
  <si>
    <t>Section 3) Applications Submitted Since 7/1/2017 in Each Status as of 11/11/2017</t>
  </si>
  <si>
    <t>Of All Applications, Status as of 11/11/2017 is:</t>
  </si>
  <si>
    <t>Expired:</t>
  </si>
  <si>
    <t>WRBCC Recertification</t>
  </si>
  <si>
    <t>In Progress Applications</t>
  </si>
  <si>
    <t>Mass Mailing Data Date</t>
  </si>
  <si>
    <t>Count</t>
  </si>
  <si>
    <t>% of Decided Applications Approved</t>
  </si>
  <si>
    <t>Number of Outstanding Applications</t>
  </si>
  <si>
    <t>Assumptions</t>
  </si>
  <si>
    <t>Expected to be Approved</t>
  </si>
  <si>
    <t>WRBCC &lt;=150%</t>
  </si>
  <si>
    <t>Recert upon Plan Expiration (est)</t>
  </si>
  <si>
    <t>To be decided by</t>
  </si>
  <si>
    <t>Back on WRBCC AND &lt;=150% (est)</t>
  </si>
  <si>
    <t>Recert after Moratorium (est)</t>
  </si>
  <si>
    <t>(no longer eligible for WRBCC)</t>
  </si>
  <si>
    <t>PROJECTED SUBSCRIPTION 1 (4-YR RAMP)</t>
  </si>
  <si>
    <t>No. of TAP Bills</t>
  </si>
  <si>
    <t>Projected Increase</t>
  </si>
  <si>
    <t>Cost</t>
  </si>
  <si>
    <t>Discount per Bill</t>
  </si>
  <si>
    <t>WRBCC Additions</t>
  </si>
  <si>
    <t>Year</t>
  </si>
  <si>
    <t>Est. Cost</t>
  </si>
  <si>
    <t>Annual Growth Rate</t>
  </si>
  <si>
    <t>Enrollment at end</t>
  </si>
  <si>
    <t>FY2018</t>
  </si>
  <si>
    <t>FY2019</t>
  </si>
  <si>
    <t>FY2020</t>
  </si>
  <si>
    <t>FY2021</t>
  </si>
  <si>
    <t>FY2022</t>
  </si>
  <si>
    <t>2025 TAP Reconcilable Rider Reports and Projection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</si>
</sst>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\$* #,##0.00_);_(\$* \(#,##0.00\);_(\$* &quot;-&quot;??_);_(@_)"/>
    <numFmt numFmtId="167" formatCode="[$-409]mmm\ yyyy"/>
    <numFmt numFmtId="168" formatCode="&quot;$&quot;#,##0"/>
    <numFmt numFmtId="169" formatCode="[$-409]mmm\-yy;@"/>
    <numFmt numFmtId="170" formatCode="[$-409]mmmm\ yyyy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9A9A9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6D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176D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8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theme="8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 style="thin">
        <color rgb="FF2176D2"/>
      </top>
      <bottom/>
      <diagonal/>
    </border>
    <border>
      <left/>
      <right/>
      <top style="thin">
        <color rgb="FF2176D2"/>
      </top>
      <bottom/>
      <diagonal/>
    </border>
    <border>
      <left style="thin">
        <color rgb="FF2176D2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/>
      <bottom/>
      <diagonal/>
    </border>
    <border>
      <left style="thin">
        <color rgb="FF2176D2"/>
      </left>
      <right/>
      <top/>
      <bottom style="thin">
        <color rgb="FF2176D2"/>
      </bottom>
      <diagonal/>
    </border>
    <border>
      <left/>
      <right/>
      <top/>
      <bottom style="thin">
        <color rgb="FF2176D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4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91">
    <xf numFmtId="0" fontId="0" fillId="0" borderId="0" xfId="0"/>
    <xf numFmtId="164" fontId="0" fillId="0" borderId="0" xfId="42" applyNumberFormat="1" applyFont="1"/>
    <xf numFmtId="0" fontId="18" fillId="0" borderId="0" xfId="0" applyFont="1"/>
    <xf numFmtId="10" fontId="19" fillId="33" borderId="10" xfId="44" applyNumberFormat="1" applyFont="1" applyFill="1" applyBorder="1"/>
    <xf numFmtId="0" fontId="14" fillId="0" borderId="0" xfId="0" applyFont="1"/>
    <xf numFmtId="0" fontId="16" fillId="0" borderId="0" xfId="0" applyFont="1"/>
    <xf numFmtId="0" fontId="0" fillId="0" borderId="11" xfId="0" applyBorder="1"/>
    <xf numFmtId="0" fontId="24" fillId="0" borderId="0" xfId="0" applyFont="1" applyAlignment="1">
      <alignment horizontal="justify" vertical="center"/>
    </xf>
    <xf numFmtId="0" fontId="0" fillId="35" borderId="0" xfId="0" applyFill="1"/>
    <xf numFmtId="0" fontId="25" fillId="35" borderId="0" xfId="0" applyFont="1" applyFill="1"/>
    <xf numFmtId="0" fontId="0" fillId="35" borderId="0" xfId="0" applyFill="1" applyAlignment="1">
      <alignment horizontal="right"/>
    </xf>
    <xf numFmtId="0" fontId="14" fillId="35" borderId="0" xfId="0" applyFont="1" applyFill="1"/>
    <xf numFmtId="14" fontId="14" fillId="35" borderId="0" xfId="0" applyNumberFormat="1" applyFont="1" applyFill="1"/>
    <xf numFmtId="0" fontId="14" fillId="0" borderId="11" xfId="0" applyFont="1" applyBorder="1"/>
    <xf numFmtId="0" fontId="26" fillId="0" borderId="0" xfId="0" applyFont="1"/>
    <xf numFmtId="3" fontId="0" fillId="0" borderId="11" xfId="0" applyNumberFormat="1" applyBorder="1"/>
    <xf numFmtId="0" fontId="20" fillId="0" borderId="0" xfId="45"/>
    <xf numFmtId="164" fontId="20" fillId="0" borderId="0" xfId="42" applyNumberFormat="1" applyFont="1"/>
    <xf numFmtId="0" fontId="27" fillId="0" borderId="0" xfId="45" applyFont="1" applyAlignment="1">
      <alignment indent="1"/>
    </xf>
    <xf numFmtId="164" fontId="27" fillId="0" borderId="0" xfId="42" applyNumberFormat="1" applyFont="1"/>
    <xf numFmtId="0" fontId="28" fillId="0" borderId="13" xfId="0" applyFont="1" applyBorder="1" applyAlignment="1">
      <alignment horizontal="center"/>
    </xf>
    <xf numFmtId="0" fontId="29" fillId="36" borderId="13" xfId="0" applyFont="1" applyFill="1" applyBorder="1"/>
    <xf numFmtId="164" fontId="29" fillId="36" borderId="13" xfId="42" applyNumberFormat="1" applyFont="1" applyFill="1" applyBorder="1"/>
    <xf numFmtId="0" fontId="0" fillId="0" borderId="0" xfId="0" applyAlignment="1">
      <alignment horizontal="right"/>
    </xf>
    <xf numFmtId="9" fontId="30" fillId="0" borderId="14" xfId="44" applyFont="1" applyFill="1" applyBorder="1"/>
    <xf numFmtId="0" fontId="29" fillId="0" borderId="15" xfId="0" applyFont="1" applyBorder="1"/>
    <xf numFmtId="164" fontId="29" fillId="0" borderId="15" xfId="42" applyNumberFormat="1" applyFont="1" applyBorder="1"/>
    <xf numFmtId="164" fontId="31" fillId="0" borderId="0" xfId="42" applyNumberFormat="1" applyFont="1"/>
    <xf numFmtId="164" fontId="30" fillId="0" borderId="14" xfId="42" applyNumberFormat="1" applyFont="1" applyFill="1" applyBorder="1"/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9" fontId="29" fillId="33" borderId="10" xfId="0" applyNumberFormat="1" applyFont="1" applyFill="1" applyBorder="1"/>
    <xf numFmtId="0" fontId="29" fillId="33" borderId="10" xfId="42" applyNumberFormat="1" applyFont="1" applyFill="1" applyBorder="1"/>
    <xf numFmtId="9" fontId="0" fillId="0" borderId="0" xfId="0" applyNumberFormat="1"/>
    <xf numFmtId="164" fontId="32" fillId="0" borderId="0" xfId="42" applyNumberFormat="1" applyFont="1"/>
    <xf numFmtId="164" fontId="0" fillId="0" borderId="0" xfId="42" applyNumberFormat="1" applyFont="1" applyAlignment="1">
      <alignment horizontal="center" wrapText="1"/>
    </xf>
    <xf numFmtId="10" fontId="0" fillId="0" borderId="0" xfId="44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42" applyNumberFormat="1" applyFont="1"/>
    <xf numFmtId="10" fontId="0" fillId="0" borderId="0" xfId="44" applyNumberFormat="1" applyFont="1"/>
    <xf numFmtId="44" fontId="16" fillId="0" borderId="0" xfId="43" applyFont="1"/>
    <xf numFmtId="44" fontId="30" fillId="0" borderId="14" xfId="43" applyFont="1" applyFill="1" applyBorder="1"/>
    <xf numFmtId="43" fontId="0" fillId="0" borderId="0" xfId="42" applyFont="1"/>
    <xf numFmtId="10" fontId="30" fillId="0" borderId="14" xfId="44" applyNumberFormat="1" applyFont="1" applyFill="1" applyBorder="1"/>
    <xf numFmtId="44" fontId="35" fillId="0" borderId="0" xfId="43" applyFont="1"/>
    <xf numFmtId="43" fontId="36" fillId="0" borderId="0" xfId="42" applyFont="1"/>
    <xf numFmtId="43" fontId="0" fillId="0" borderId="0" xfId="42" applyFont="1" applyFill="1"/>
    <xf numFmtId="10" fontId="30" fillId="0" borderId="19" xfId="44" applyNumberFormat="1" applyFont="1" applyFill="1" applyBorder="1"/>
    <xf numFmtId="164" fontId="35" fillId="0" borderId="0" xfId="42" applyNumberFormat="1" applyFont="1" applyBorder="1"/>
    <xf numFmtId="0" fontId="0" fillId="0" borderId="18" xfId="0" applyBorder="1"/>
    <xf numFmtId="164" fontId="35" fillId="0" borderId="18" xfId="42" applyNumberFormat="1" applyFont="1" applyBorder="1"/>
    <xf numFmtId="10" fontId="19" fillId="33" borderId="20" xfId="44" applyNumberFormat="1" applyFont="1" applyFill="1" applyBorder="1"/>
    <xf numFmtId="44" fontId="35" fillId="0" borderId="18" xfId="43" applyFont="1" applyBorder="1"/>
    <xf numFmtId="168" fontId="36" fillId="0" borderId="0" xfId="42" applyNumberFormat="1" applyFont="1"/>
    <xf numFmtId="164" fontId="35" fillId="0" borderId="0" xfId="42" applyNumberFormat="1" applyFont="1"/>
    <xf numFmtId="10" fontId="19" fillId="33" borderId="17" xfId="44" applyNumberFormat="1" applyFont="1" applyFill="1" applyBorder="1"/>
    <xf numFmtId="0" fontId="0" fillId="37" borderId="0" xfId="0" applyFill="1"/>
    <xf numFmtId="164" fontId="35" fillId="37" borderId="0" xfId="42" applyNumberFormat="1" applyFont="1" applyFill="1"/>
    <xf numFmtId="164" fontId="28" fillId="0" borderId="13" xfId="42" applyNumberFormat="1" applyFont="1" applyBorder="1" applyAlignment="1">
      <alignment horizontal="center"/>
    </xf>
    <xf numFmtId="164" fontId="28" fillId="0" borderId="13" xfId="42" applyNumberFormat="1" applyFont="1" applyBorder="1" applyAlignment="1">
      <alignment horizontal="center" wrapText="1"/>
    </xf>
    <xf numFmtId="165" fontId="29" fillId="36" borderId="13" xfId="43" applyNumberFormat="1" applyFont="1" applyFill="1" applyBorder="1"/>
    <xf numFmtId="0" fontId="29" fillId="0" borderId="0" xfId="0" applyFont="1"/>
    <xf numFmtId="165" fontId="29" fillId="0" borderId="0" xfId="43" applyNumberFormat="1" applyFont="1"/>
    <xf numFmtId="9" fontId="29" fillId="0" borderId="0" xfId="44" applyFont="1"/>
    <xf numFmtId="164" fontId="29" fillId="0" borderId="0" xfId="42" applyNumberFormat="1" applyFont="1"/>
    <xf numFmtId="0" fontId="29" fillId="36" borderId="0" xfId="0" applyFont="1" applyFill="1"/>
    <xf numFmtId="165" fontId="29" fillId="36" borderId="0" xfId="43" applyNumberFormat="1" applyFont="1" applyFill="1"/>
    <xf numFmtId="9" fontId="29" fillId="36" borderId="0" xfId="44" applyFont="1" applyFill="1"/>
    <xf numFmtId="164" fontId="29" fillId="36" borderId="0" xfId="42" applyNumberFormat="1" applyFont="1" applyFill="1"/>
    <xf numFmtId="165" fontId="14" fillId="0" borderId="0" xfId="43" applyNumberFormat="1" applyFont="1"/>
    <xf numFmtId="9" fontId="14" fillId="0" borderId="0" xfId="44" applyFont="1"/>
    <xf numFmtId="164" fontId="14" fillId="0" borderId="0" xfId="42" applyNumberFormat="1" applyFont="1"/>
    <xf numFmtId="0" fontId="21" fillId="34" borderId="0" xfId="0" applyFont="1" applyFill="1"/>
    <xf numFmtId="166" fontId="0" fillId="0" borderId="0" xfId="0" applyNumberFormat="1"/>
    <xf numFmtId="0" fontId="20" fillId="0" borderId="0" xfId="0" applyFont="1"/>
    <xf numFmtId="164" fontId="0" fillId="0" borderId="0" xfId="0" applyNumberFormat="1"/>
    <xf numFmtId="0" fontId="21" fillId="34" borderId="11" xfId="0" applyFont="1" applyFill="1" applyBorder="1"/>
    <xf numFmtId="164" fontId="21" fillId="34" borderId="11" xfId="0" applyNumberFormat="1" applyFont="1" applyFill="1" applyBorder="1"/>
    <xf numFmtId="3" fontId="0" fillId="0" borderId="0" xfId="0" applyNumberFormat="1"/>
    <xf numFmtId="0" fontId="21" fillId="34" borderId="11" xfId="0" applyFont="1" applyFill="1" applyBorder="1" applyAlignment="1">
      <alignment horizontal="center"/>
    </xf>
    <xf numFmtId="0" fontId="18" fillId="0" borderId="22" xfId="0" applyFont="1" applyBorder="1"/>
    <xf numFmtId="164" fontId="16" fillId="0" borderId="0" xfId="42" applyNumberFormat="1" applyFont="1" applyBorder="1"/>
    <xf numFmtId="164" fontId="0" fillId="0" borderId="0" xfId="42" applyNumberFormat="1" applyFont="1" applyBorder="1"/>
    <xf numFmtId="164" fontId="16" fillId="0" borderId="28" xfId="42" applyNumberFormat="1" applyFont="1" applyBorder="1"/>
    <xf numFmtId="0" fontId="26" fillId="0" borderId="11" xfId="0" applyFont="1" applyBorder="1"/>
    <xf numFmtId="3" fontId="21" fillId="34" borderId="11" xfId="0" applyNumberFormat="1" applyFont="1" applyFill="1" applyBorder="1" applyAlignment="1">
      <alignment wrapText="1"/>
    </xf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169" fontId="21" fillId="34" borderId="0" xfId="0" applyNumberFormat="1" applyFont="1" applyFill="1" applyAlignment="1">
      <alignment wrapText="1"/>
    </xf>
    <xf numFmtId="164" fontId="23" fillId="0" borderId="0" xfId="46" applyNumberFormat="1"/>
    <xf numFmtId="166" fontId="20" fillId="0" borderId="0" xfId="46" applyNumberFormat="1" applyFont="1"/>
    <xf numFmtId="0" fontId="37" fillId="0" borderId="27" xfId="0" applyFont="1" applyBorder="1"/>
    <xf numFmtId="0" fontId="38" fillId="0" borderId="25" xfId="0" applyFont="1" applyBorder="1"/>
    <xf numFmtId="0" fontId="39" fillId="0" borderId="25" xfId="0" applyFont="1" applyBorder="1"/>
    <xf numFmtId="0" fontId="40" fillId="0" borderId="25" xfId="0" applyFont="1" applyBorder="1"/>
    <xf numFmtId="0" fontId="0" fillId="0" borderId="0" xfId="0" applyAlignment="1">
      <alignment horizontal="center"/>
    </xf>
    <xf numFmtId="164" fontId="26" fillId="0" borderId="11" xfId="42" applyNumberFormat="1" applyFont="1" applyBorder="1"/>
    <xf numFmtId="0" fontId="0" fillId="40" borderId="0" xfId="0" applyFill="1"/>
    <xf numFmtId="0" fontId="16" fillId="0" borderId="2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8" xfId="0" applyFont="1" applyBorder="1"/>
    <xf numFmtId="0" fontId="38" fillId="0" borderId="0" xfId="0" applyFont="1"/>
    <xf numFmtId="0" fontId="37" fillId="0" borderId="28" xfId="0" applyFont="1" applyBorder="1"/>
    <xf numFmtId="10" fontId="19" fillId="33" borderId="12" xfId="44" applyNumberFormat="1" applyFont="1" applyFill="1" applyBorder="1"/>
    <xf numFmtId="0" fontId="16" fillId="0" borderId="23" xfId="0" applyFont="1" applyBorder="1" applyAlignment="1">
      <alignment horizontal="center" wrapText="1"/>
    </xf>
    <xf numFmtId="10" fontId="19" fillId="33" borderId="31" xfId="44" applyNumberFormat="1" applyFont="1" applyFill="1" applyBorder="1"/>
    <xf numFmtId="10" fontId="19" fillId="33" borderId="32" xfId="44" applyNumberFormat="1" applyFont="1" applyFill="1" applyBorder="1"/>
    <xf numFmtId="164" fontId="0" fillId="0" borderId="0" xfId="42" applyNumberFormat="1" applyFont="1" applyFill="1" applyBorder="1"/>
    <xf numFmtId="0" fontId="0" fillId="0" borderId="33" xfId="0" applyBorder="1"/>
    <xf numFmtId="0" fontId="0" fillId="0" borderId="34" xfId="0" applyBorder="1"/>
    <xf numFmtId="10" fontId="19" fillId="33" borderId="35" xfId="44" applyNumberFormat="1" applyFont="1" applyFill="1" applyBorder="1"/>
    <xf numFmtId="0" fontId="21" fillId="34" borderId="36" xfId="46" applyFont="1" applyFill="1" applyBorder="1" applyAlignment="1">
      <alignment horizontal="left"/>
    </xf>
    <xf numFmtId="0" fontId="22" fillId="0" borderId="36" xfId="46" applyFont="1" applyBorder="1" applyAlignment="1">
      <alignment horizontal="right"/>
    </xf>
    <xf numFmtId="0" fontId="22" fillId="0" borderId="37" xfId="46" applyFont="1" applyBorder="1" applyAlignment="1">
      <alignment horizontal="right"/>
    </xf>
    <xf numFmtId="3" fontId="0" fillId="0" borderId="38" xfId="0" applyNumberFormat="1" applyBorder="1"/>
    <xf numFmtId="164" fontId="0" fillId="0" borderId="38" xfId="42" applyNumberFormat="1" applyFont="1" applyFill="1" applyBorder="1"/>
    <xf numFmtId="0" fontId="39" fillId="0" borderId="0" xfId="0" applyFont="1"/>
    <xf numFmtId="0" fontId="40" fillId="0" borderId="0" xfId="0" applyFont="1"/>
    <xf numFmtId="170" fontId="40" fillId="0" borderId="0" xfId="0" quotePrefix="1" applyNumberFormat="1" applyFont="1"/>
    <xf numFmtId="170" fontId="38" fillId="0" borderId="0" xfId="0" applyNumberFormat="1" applyFont="1"/>
    <xf numFmtId="170" fontId="37" fillId="0" borderId="28" xfId="0" quotePrefix="1" applyNumberFormat="1" applyFont="1" applyBorder="1"/>
    <xf numFmtId="165" fontId="16" fillId="0" borderId="0" xfId="43" applyNumberFormat="1" applyFont="1" applyBorder="1"/>
    <xf numFmtId="165" fontId="0" fillId="0" borderId="0" xfId="43" applyNumberFormat="1" applyFont="1" applyBorder="1"/>
    <xf numFmtId="165" fontId="16" fillId="0" borderId="28" xfId="43" applyNumberFormat="1" applyFont="1" applyBorder="1"/>
    <xf numFmtId="164" fontId="16" fillId="0" borderId="28" xfId="42" applyNumberFormat="1" applyFont="1" applyFill="1" applyBorder="1"/>
    <xf numFmtId="170" fontId="39" fillId="33" borderId="0" xfId="0" quotePrefix="1" applyNumberFormat="1" applyFont="1" applyFill="1"/>
    <xf numFmtId="170" fontId="40" fillId="33" borderId="0" xfId="0" quotePrefix="1" applyNumberFormat="1" applyFont="1" applyFill="1"/>
    <xf numFmtId="0" fontId="13" fillId="0" borderId="0" xfId="0" applyFont="1"/>
    <xf numFmtId="0" fontId="13" fillId="39" borderId="0" xfId="0" applyFont="1" applyFill="1"/>
    <xf numFmtId="0" fontId="13" fillId="38" borderId="0" xfId="0" applyFont="1" applyFill="1"/>
    <xf numFmtId="167" fontId="21" fillId="34" borderId="0" xfId="47" applyNumberFormat="1" applyFont="1" applyFill="1" applyAlignment="1">
      <alignment horizontal="center"/>
    </xf>
    <xf numFmtId="164" fontId="20" fillId="0" borderId="0" xfId="47" applyNumberFormat="1"/>
    <xf numFmtId="166" fontId="20" fillId="0" borderId="0" xfId="47" applyNumberFormat="1"/>
    <xf numFmtId="167" fontId="21" fillId="34" borderId="0" xfId="46" applyNumberFormat="1" applyFont="1" applyFill="1" applyAlignment="1">
      <alignment horizontal="center"/>
    </xf>
    <xf numFmtId="0" fontId="0" fillId="0" borderId="0" xfId="0" applyAlignment="1">
      <alignment horizontal="left" vertical="center" indent="3"/>
    </xf>
    <xf numFmtId="2" fontId="0" fillId="0" borderId="0" xfId="0" applyNumberFormat="1"/>
    <xf numFmtId="167" fontId="0" fillId="0" borderId="0" xfId="0" applyNumberFormat="1"/>
    <xf numFmtId="164" fontId="0" fillId="0" borderId="0" xfId="0" applyNumberFormat="1" applyAlignment="1">
      <alignment horizontal="left" indent="1"/>
    </xf>
    <xf numFmtId="164" fontId="16" fillId="0" borderId="39" xfId="42" applyNumberFormat="1" applyFont="1" applyBorder="1"/>
    <xf numFmtId="164" fontId="16" fillId="0" borderId="26" xfId="42" applyNumberFormat="1" applyFont="1" applyBorder="1"/>
    <xf numFmtId="164" fontId="16" fillId="0" borderId="29" xfId="42" applyNumberFormat="1" applyFont="1" applyFill="1" applyBorder="1"/>
    <xf numFmtId="0" fontId="0" fillId="0" borderId="26" xfId="0" applyBorder="1"/>
    <xf numFmtId="0" fontId="0" fillId="0" borderId="0" xfId="43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28" xfId="0" applyBorder="1"/>
    <xf numFmtId="0" fontId="0" fillId="0" borderId="29" xfId="0" applyBorder="1"/>
    <xf numFmtId="0" fontId="0" fillId="0" borderId="40" xfId="0" applyBorder="1"/>
    <xf numFmtId="0" fontId="0" fillId="0" borderId="41" xfId="0" applyBorder="1"/>
    <xf numFmtId="0" fontId="16" fillId="0" borderId="25" xfId="0" applyFont="1" applyBorder="1"/>
    <xf numFmtId="0" fontId="0" fillId="0" borderId="25" xfId="0" applyBorder="1"/>
    <xf numFmtId="0" fontId="41" fillId="0" borderId="25" xfId="0" applyFont="1" applyBorder="1" applyAlignment="1">
      <alignment horizontal="left" indent="1"/>
    </xf>
    <xf numFmtId="0" fontId="0" fillId="0" borderId="27" xfId="0" applyBorder="1"/>
    <xf numFmtId="0" fontId="16" fillId="0" borderId="18" xfId="0" applyFont="1" applyBorder="1" applyAlignment="1">
      <alignment horizontal="center" vertical="center" wrapText="1"/>
    </xf>
    <xf numFmtId="0" fontId="0" fillId="0" borderId="42" xfId="0" applyBorder="1"/>
    <xf numFmtId="164" fontId="0" fillId="0" borderId="42" xfId="0" applyNumberFormat="1" applyBorder="1"/>
    <xf numFmtId="166" fontId="0" fillId="0" borderId="42" xfId="0" applyNumberFormat="1" applyBorder="1"/>
    <xf numFmtId="0" fontId="13" fillId="41" borderId="0" xfId="0" applyFont="1" applyFill="1"/>
    <xf numFmtId="9" fontId="0" fillId="0" borderId="0" xfId="44" applyFont="1"/>
    <xf numFmtId="0" fontId="26" fillId="0" borderId="0" xfId="0" applyFont="1" applyAlignment="1">
      <alignment horizontal="center"/>
    </xf>
    <xf numFmtId="43" fontId="0" fillId="0" borderId="0" xfId="0" applyNumberFormat="1"/>
    <xf numFmtId="0" fontId="16" fillId="35" borderId="0" xfId="0" applyFont="1" applyFill="1"/>
    <xf numFmtId="164" fontId="26" fillId="0" borderId="11" xfId="42" applyNumberFormat="1" applyFont="1" applyFill="1" applyBorder="1"/>
    <xf numFmtId="14" fontId="0" fillId="0" borderId="0" xfId="0" applyNumberFormat="1" applyAlignment="1">
      <alignment horizontal="left"/>
    </xf>
    <xf numFmtId="17" fontId="0" fillId="0" borderId="0" xfId="0" quotePrefix="1" applyNumberFormat="1"/>
    <xf numFmtId="0" fontId="0" fillId="0" borderId="0" xfId="0" quotePrefix="1"/>
    <xf numFmtId="0" fontId="44" fillId="0" borderId="0" xfId="0" applyFont="1"/>
    <xf numFmtId="14" fontId="44" fillId="0" borderId="0" xfId="0" applyNumberFormat="1" applyFont="1"/>
    <xf numFmtId="0" fontId="44" fillId="0" borderId="0" xfId="0" quotePrefix="1" applyFont="1"/>
    <xf numFmtId="17" fontId="44" fillId="0" borderId="0" xfId="0" quotePrefix="1" applyNumberFormat="1" applyFont="1"/>
    <xf numFmtId="44" fontId="0" fillId="0" borderId="0" xfId="43" applyFont="1" applyBorder="1" applyAlignment="1">
      <alignment horizontal="right" wrapText="1"/>
    </xf>
    <xf numFmtId="1" fontId="0" fillId="0" borderId="0" xfId="0" applyNumberFormat="1" applyAlignment="1">
      <alignment horizontal="right" wrapText="1"/>
    </xf>
    <xf numFmtId="0" fontId="46" fillId="0" borderId="0" xfId="0" applyFont="1"/>
    <xf numFmtId="44" fontId="45" fillId="0" borderId="0" xfId="43" applyFont="1" applyFill="1"/>
    <xf numFmtId="1" fontId="45" fillId="0" borderId="0" xfId="0" applyNumberFormat="1" applyFont="1"/>
    <xf numFmtId="0" fontId="45" fillId="0" borderId="0" xfId="0" applyFont="1"/>
    <xf numFmtId="3" fontId="20" fillId="0" borderId="0" xfId="0" applyNumberFormat="1" applyFont="1"/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0" fontId="21" fillId="40" borderId="30" xfId="0" applyFont="1" applyFill="1" applyBorder="1" applyAlignment="1">
      <alignment horizontal="left"/>
    </xf>
    <xf numFmtId="0" fontId="21" fillId="40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21" fillId="34" borderId="30" xfId="0" applyFont="1" applyFill="1" applyBorder="1" applyAlignment="1">
      <alignment horizontal="left"/>
    </xf>
    <xf numFmtId="0" fontId="21" fillId="34" borderId="0" xfId="0" applyFont="1" applyFill="1" applyAlignment="1">
      <alignment horizontal="left"/>
    </xf>
    <xf numFmtId="0" fontId="21" fillId="34" borderId="0" xfId="45" applyFont="1" applyFill="1" applyAlignment="1">
      <alignment wrapText="1"/>
    </xf>
    <xf numFmtId="0" fontId="20" fillId="0" borderId="0" xfId="45" applyAlignment="1">
      <alignment wrapText="1"/>
    </xf>
    <xf numFmtId="0" fontId="22" fillId="0" borderId="0" xfId="45" applyFont="1" applyAlignment="1"/>
    <xf numFmtId="0" fontId="20" fillId="0" borderId="0" xfId="45" applyAlignment="1"/>
    <xf numFmtId="0" fontId="16" fillId="0" borderId="0" xfId="0" applyFont="1" applyAlignment="1">
      <alignment horizontal="center" vertical="center"/>
    </xf>
    <xf numFmtId="9" fontId="29" fillId="33" borderId="16" xfId="0" applyNumberFormat="1" applyFont="1" applyFill="1" applyBorder="1" applyAlignment="1">
      <alignment horizontal="right" vertical="center"/>
    </xf>
    <xf numFmtId="9" fontId="29" fillId="33" borderId="17" xfId="0" applyNumberFormat="1" applyFont="1" applyFill="1" applyBorder="1" applyAlignment="1">
      <alignment horizontal="right" vertical="center"/>
    </xf>
    <xf numFmtId="164" fontId="0" fillId="0" borderId="18" xfId="42" applyNumberFormat="1" applyFont="1" applyBorder="1" applyAlignment="1">
      <alignment horizont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 xr:uid="{2335FF84-5FBA-4EBD-9BC9-92E447EAE98C}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rmal 3 2" xfId="47" xr:uid="{F78064FE-9DE0-4D69-A761-6B9ACF6F9114}"/>
    <cellStyle name="Normal 4" xfId="48" xr:uid="{A03FED56-F493-4B0C-AF80-656EEB9227B0}"/>
    <cellStyle name="Normal 5" xfId="51" xr:uid="{21D17166-2F59-4DCA-9433-A28EEF4E3FC3}"/>
    <cellStyle name="Note" xfId="15" builtinId="10" customBuiltin="1"/>
    <cellStyle name="Output" xfId="10" builtinId="21" customBuiltin="1"/>
    <cellStyle name="Percent" xfId="44" builtinId="5"/>
    <cellStyle name="Percent 2" xfId="50" xr:uid="{35628409-E516-4CCF-B950-2E253DEDD82F}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21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37950</xdr:colOff>
      <xdr:row>3</xdr:row>
      <xdr:rowOff>143574</xdr:rowOff>
    </xdr:from>
    <xdr:to>
      <xdr:col>5</xdr:col>
      <xdr:colOff>510820</xdr:colOff>
      <xdr:row>6</xdr:row>
      <xdr:rowOff>68543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719D-27CC-4367-A3F0-CD2D00AD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29" y="837752"/>
          <a:ext cx="3139471" cy="470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B11"/>
  <sheetViews>
    <sheetView tabSelected="1" workbookViewId="0">
      <selection activeCell="C25" sqref="C25"/>
    </sheetView>
  </sheetViews>
  <sheetFormatPr defaultColWidth="9.14453125" defaultRowHeight="15" x14ac:dyDescent="0.2"/>
  <cols>
    <col min="1" max="1" width="9.14453125" style="8"/>
    <col min="2" max="2" width="9.55078125" style="8" bestFit="1" customWidth="1"/>
    <col min="3" max="16384" width="9.14453125" style="8"/>
  </cols>
  <sheetData>
    <row r="2" spans="1:2" x14ac:dyDescent="0.2">
      <c r="B2" s="160" t="s">
        <v>138</v>
      </c>
    </row>
    <row r="3" spans="1:2" ht="26.65" customHeight="1" x14ac:dyDescent="0.4">
      <c r="A3" s="10" t="s">
        <v>0</v>
      </c>
      <c r="B3" s="9" t="s">
        <v>1</v>
      </c>
    </row>
    <row r="4" spans="1:2" x14ac:dyDescent="0.2">
      <c r="A4" s="10"/>
    </row>
    <row r="5" spans="1:2" x14ac:dyDescent="0.2">
      <c r="A5" s="10" t="s">
        <v>2</v>
      </c>
    </row>
    <row r="9" spans="1:2" x14ac:dyDescent="0.2">
      <c r="B9" s="11"/>
    </row>
    <row r="10" spans="1:2" x14ac:dyDescent="0.2">
      <c r="B10" s="11"/>
    </row>
    <row r="11" spans="1:2" x14ac:dyDescent="0.2">
      <c r="B11" s="12"/>
    </row>
  </sheetData>
  <pageMargins left="0.7" right="0.7" top="0.75" bottom="0.75" header="0.3" footer="0.3"/>
  <pageSetup orientation="landscape" r:id="rId1"/>
  <headerFooter>
    <oddHeader>&amp;L2025 TAP Reconcilable Rider Reports and Projection Model: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1"/>
  <sheetViews>
    <sheetView workbookViewId="0">
      <selection sqref="A1:B1"/>
    </sheetView>
  </sheetViews>
  <sheetFormatPr defaultColWidth="9.14453125" defaultRowHeight="15" x14ac:dyDescent="0.2"/>
  <cols>
    <col min="1" max="1" width="42.375" style="16" customWidth="1"/>
    <col min="2" max="2" width="13.98828125" style="17" customWidth="1"/>
    <col min="3" max="16384" width="9.14453125" style="16"/>
  </cols>
  <sheetData>
    <row r="1" spans="1:2" ht="30" customHeight="1" x14ac:dyDescent="0.2">
      <c r="A1" s="183" t="s">
        <v>82</v>
      </c>
      <c r="B1" s="184"/>
    </row>
    <row r="2" spans="1:2" x14ac:dyDescent="0.2">
      <c r="A2" s="16" t="s">
        <v>83</v>
      </c>
      <c r="B2" s="17">
        <v>279</v>
      </c>
    </row>
    <row r="3" spans="1:2" x14ac:dyDescent="0.2">
      <c r="A3" s="18" t="s">
        <v>84</v>
      </c>
      <c r="B3" s="19">
        <v>253</v>
      </c>
    </row>
    <row r="4" spans="1:2" x14ac:dyDescent="0.2">
      <c r="A4" s="18" t="s">
        <v>85</v>
      </c>
      <c r="B4" s="19">
        <v>26</v>
      </c>
    </row>
    <row r="6" spans="1:2" x14ac:dyDescent="0.2">
      <c r="A6" s="185" t="s">
        <v>86</v>
      </c>
      <c r="B6" s="186"/>
    </row>
    <row r="7" spans="1:2" x14ac:dyDescent="0.2">
      <c r="A7" s="16" t="s">
        <v>87</v>
      </c>
      <c r="B7" s="17">
        <v>279</v>
      </c>
    </row>
    <row r="9" spans="1:2" ht="30" customHeight="1" x14ac:dyDescent="0.2">
      <c r="A9" s="183" t="s">
        <v>88</v>
      </c>
      <c r="B9" s="184"/>
    </row>
    <row r="10" spans="1:2" x14ac:dyDescent="0.2">
      <c r="A10" s="16" t="s">
        <v>87</v>
      </c>
      <c r="B10" s="17">
        <v>84</v>
      </c>
    </row>
    <row r="11" spans="1:2" x14ac:dyDescent="0.2">
      <c r="A11" s="18" t="s">
        <v>89</v>
      </c>
      <c r="B11" s="19">
        <v>73</v>
      </c>
    </row>
    <row r="12" spans="1:2" x14ac:dyDescent="0.2">
      <c r="A12" s="18" t="s">
        <v>90</v>
      </c>
      <c r="B12" s="19">
        <v>11</v>
      </c>
    </row>
    <row r="13" spans="1:2" x14ac:dyDescent="0.2">
      <c r="A13" s="16" t="s">
        <v>91</v>
      </c>
      <c r="B13" s="17">
        <v>237</v>
      </c>
    </row>
    <row r="14" spans="1:2" x14ac:dyDescent="0.2">
      <c r="A14" s="18" t="s">
        <v>92</v>
      </c>
      <c r="B14" s="19">
        <v>237</v>
      </c>
    </row>
    <row r="15" spans="1:2" x14ac:dyDescent="0.2">
      <c r="A15" s="16" t="s">
        <v>93</v>
      </c>
      <c r="B15" s="17">
        <v>95</v>
      </c>
    </row>
    <row r="16" spans="1:2" x14ac:dyDescent="0.2">
      <c r="A16" s="18" t="s">
        <v>94</v>
      </c>
      <c r="B16" s="19">
        <v>58</v>
      </c>
    </row>
    <row r="17" spans="1:2" x14ac:dyDescent="0.2">
      <c r="A17" s="18" t="s">
        <v>95</v>
      </c>
      <c r="B17" s="19">
        <v>37</v>
      </c>
    </row>
    <row r="18" spans="1:2" x14ac:dyDescent="0.2">
      <c r="A18" s="16" t="s">
        <v>96</v>
      </c>
      <c r="B18" s="17">
        <v>21</v>
      </c>
    </row>
    <row r="19" spans="1:2" x14ac:dyDescent="0.2">
      <c r="A19" s="18" t="s">
        <v>97</v>
      </c>
      <c r="B19" s="19">
        <v>21</v>
      </c>
    </row>
    <row r="20" spans="1:2" x14ac:dyDescent="0.2">
      <c r="A20" s="16" t="s">
        <v>98</v>
      </c>
      <c r="B20" s="17">
        <v>222</v>
      </c>
    </row>
    <row r="21" spans="1:2" x14ac:dyDescent="0.2">
      <c r="A21" s="18" t="s">
        <v>99</v>
      </c>
      <c r="B21" s="19">
        <v>222</v>
      </c>
    </row>
    <row r="22" spans="1:2" x14ac:dyDescent="0.2">
      <c r="A22" s="16" t="s">
        <v>100</v>
      </c>
      <c r="B22" s="17">
        <v>123</v>
      </c>
    </row>
    <row r="23" spans="1:2" x14ac:dyDescent="0.2">
      <c r="A23" s="18" t="s">
        <v>101</v>
      </c>
      <c r="B23" s="19">
        <v>48</v>
      </c>
    </row>
    <row r="24" spans="1:2" x14ac:dyDescent="0.2">
      <c r="A24" s="18" t="s">
        <v>102</v>
      </c>
      <c r="B24" s="19">
        <v>1</v>
      </c>
    </row>
    <row r="25" spans="1:2" x14ac:dyDescent="0.2">
      <c r="A25" s="18" t="s">
        <v>103</v>
      </c>
      <c r="B25" s="19">
        <v>74</v>
      </c>
    </row>
    <row r="26" spans="1:2" x14ac:dyDescent="0.2">
      <c r="A26" s="16" t="s">
        <v>104</v>
      </c>
      <c r="B26" s="17">
        <v>2</v>
      </c>
    </row>
    <row r="27" spans="1:2" x14ac:dyDescent="0.2">
      <c r="A27" s="18" t="s">
        <v>105</v>
      </c>
      <c r="B27" s="19">
        <v>2</v>
      </c>
    </row>
    <row r="30" spans="1:2" ht="30.75" customHeight="1" x14ac:dyDescent="0.2">
      <c r="A30" s="183" t="s">
        <v>106</v>
      </c>
      <c r="B30" s="184"/>
    </row>
    <row r="31" spans="1:2" x14ac:dyDescent="0.2">
      <c r="A31" s="16" t="s">
        <v>83</v>
      </c>
      <c r="B31" s="17">
        <v>10621</v>
      </c>
    </row>
    <row r="33" spans="1:2" x14ac:dyDescent="0.2">
      <c r="A33" s="185" t="s">
        <v>107</v>
      </c>
      <c r="B33" s="186"/>
    </row>
    <row r="34" spans="1:2" x14ac:dyDescent="0.2">
      <c r="A34" s="16" t="s">
        <v>87</v>
      </c>
      <c r="B34" s="17">
        <v>6004</v>
      </c>
    </row>
    <row r="35" spans="1:2" x14ac:dyDescent="0.2">
      <c r="A35" s="16" t="s">
        <v>91</v>
      </c>
      <c r="B35" s="17">
        <v>1501</v>
      </c>
    </row>
    <row r="36" spans="1:2" x14ac:dyDescent="0.2">
      <c r="A36" s="16" t="s">
        <v>108</v>
      </c>
      <c r="B36" s="17">
        <v>9</v>
      </c>
    </row>
    <row r="37" spans="1:2" x14ac:dyDescent="0.2">
      <c r="A37" s="16" t="s">
        <v>93</v>
      </c>
      <c r="B37" s="17">
        <v>313</v>
      </c>
    </row>
    <row r="38" spans="1:2" x14ac:dyDescent="0.2">
      <c r="A38" s="16" t="s">
        <v>96</v>
      </c>
      <c r="B38" s="17">
        <v>155</v>
      </c>
    </row>
    <row r="39" spans="1:2" x14ac:dyDescent="0.2">
      <c r="A39" s="16" t="s">
        <v>98</v>
      </c>
      <c r="B39" s="17">
        <v>362</v>
      </c>
    </row>
    <row r="40" spans="1:2" x14ac:dyDescent="0.2">
      <c r="A40" s="16" t="s">
        <v>100</v>
      </c>
      <c r="B40" s="17">
        <v>2272</v>
      </c>
    </row>
    <row r="41" spans="1:2" x14ac:dyDescent="0.2">
      <c r="A41" s="16" t="s">
        <v>104</v>
      </c>
      <c r="B41" s="17">
        <v>5</v>
      </c>
    </row>
  </sheetData>
  <mergeCells count="5">
    <mergeCell ref="A1:B1"/>
    <mergeCell ref="A6:B6"/>
    <mergeCell ref="A9:B9"/>
    <mergeCell ref="A30:B30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8"/>
  <sheetViews>
    <sheetView workbookViewId="0"/>
  </sheetViews>
  <sheetFormatPr defaultColWidth="8.7421875" defaultRowHeight="15" x14ac:dyDescent="0.2"/>
  <cols>
    <col min="1" max="1" width="2.6875" customWidth="1"/>
    <col min="2" max="2" width="26.36328125" bestFit="1" customWidth="1"/>
    <col min="3" max="3" width="9.4140625" bestFit="1" customWidth="1"/>
    <col min="8" max="8" width="14.125" customWidth="1"/>
    <col min="9" max="9" width="11.43359375" bestFit="1" customWidth="1"/>
  </cols>
  <sheetData>
    <row r="2" spans="2:9" x14ac:dyDescent="0.2">
      <c r="B2" s="187" t="s">
        <v>109</v>
      </c>
      <c r="C2" s="187"/>
    </row>
    <row r="3" spans="2:9" x14ac:dyDescent="0.2">
      <c r="H3" s="187" t="s">
        <v>110</v>
      </c>
      <c r="I3" s="187"/>
    </row>
    <row r="4" spans="2:9" x14ac:dyDescent="0.2">
      <c r="B4" s="20" t="s">
        <v>111</v>
      </c>
      <c r="C4" s="20" t="s">
        <v>112</v>
      </c>
    </row>
    <row r="5" spans="2:9" x14ac:dyDescent="0.2">
      <c r="B5" s="21">
        <v>20171105</v>
      </c>
      <c r="C5" s="22">
        <v>1182</v>
      </c>
      <c r="H5" s="23" t="s">
        <v>113</v>
      </c>
      <c r="I5" s="24">
        <f>SUM('051018 Model_Applications'!B39:B40)/SUM('051018 Model_Applications'!B35,'051018 Model_Applications'!B37,'051018 Model_Applications'!B39,'051018 Model_Applications'!B40)</f>
        <v>0.59217625899280579</v>
      </c>
    </row>
    <row r="6" spans="2:9" x14ac:dyDescent="0.2">
      <c r="B6" s="25">
        <v>20171023</v>
      </c>
      <c r="C6" s="26">
        <v>1116</v>
      </c>
    </row>
    <row r="7" spans="2:9" x14ac:dyDescent="0.2">
      <c r="C7" s="27">
        <f>SUM(C5:C6)</f>
        <v>2298</v>
      </c>
      <c r="H7" s="23" t="s">
        <v>114</v>
      </c>
      <c r="I7" s="28">
        <f>'051018 Model_Applications'!B34+'051018 Model_Applications'!B38</f>
        <v>6159</v>
      </c>
    </row>
    <row r="9" spans="2:9" x14ac:dyDescent="0.2">
      <c r="C9" s="29" t="s">
        <v>115</v>
      </c>
      <c r="H9" s="23" t="s">
        <v>116</v>
      </c>
      <c r="I9" s="28">
        <f>ROUND(I7*I5,0)</f>
        <v>3647</v>
      </c>
    </row>
    <row r="10" spans="2:9" ht="4.9000000000000004" customHeight="1" x14ac:dyDescent="0.2">
      <c r="C10" s="2"/>
    </row>
    <row r="11" spans="2:9" x14ac:dyDescent="0.2">
      <c r="B11" s="30" t="s">
        <v>117</v>
      </c>
      <c r="C11" s="31">
        <v>0.84279797514956278</v>
      </c>
    </row>
    <row r="12" spans="2:9" ht="4.9000000000000004" customHeight="1" x14ac:dyDescent="0.2">
      <c r="B12" s="23"/>
    </row>
    <row r="13" spans="2:9" x14ac:dyDescent="0.2">
      <c r="B13" s="23" t="s">
        <v>118</v>
      </c>
      <c r="C13" s="31">
        <v>0.3</v>
      </c>
      <c r="H13" s="23" t="s">
        <v>119</v>
      </c>
      <c r="I13" s="32">
        <v>201801</v>
      </c>
    </row>
    <row r="14" spans="2:9" ht="4.9000000000000004" customHeight="1" x14ac:dyDescent="0.2">
      <c r="B14" s="23"/>
      <c r="C14" s="33"/>
    </row>
    <row r="15" spans="2:9" x14ac:dyDescent="0.2">
      <c r="B15" s="23" t="s">
        <v>120</v>
      </c>
      <c r="C15" s="31">
        <v>0.02</v>
      </c>
      <c r="H15" s="23"/>
      <c r="I15" s="34"/>
    </row>
    <row r="16" spans="2:9" ht="4.9000000000000004" customHeight="1" x14ac:dyDescent="0.2">
      <c r="B16" s="23"/>
    </row>
    <row r="17" spans="2:3" x14ac:dyDescent="0.2">
      <c r="B17" s="23" t="s">
        <v>121</v>
      </c>
      <c r="C17" s="188">
        <v>0.6</v>
      </c>
    </row>
    <row r="18" spans="2:3" x14ac:dyDescent="0.2">
      <c r="B18" s="23" t="s">
        <v>122</v>
      </c>
      <c r="C18" s="189"/>
    </row>
  </sheetData>
  <mergeCells count="3">
    <mergeCell ref="B2:C2"/>
    <mergeCell ref="H3:I3"/>
    <mergeCell ref="C17:C1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2"/>
  <sheetViews>
    <sheetView workbookViewId="0"/>
  </sheetViews>
  <sheetFormatPr defaultColWidth="8.7421875" defaultRowHeight="15" x14ac:dyDescent="0.2"/>
  <cols>
    <col min="1" max="1" width="2.6875" customWidth="1"/>
    <col min="3" max="3" width="12.23828125" style="1" customWidth="1"/>
    <col min="4" max="4" width="9.4140625" style="39" customWidth="1"/>
    <col min="5" max="5" width="14.2578125" customWidth="1"/>
    <col min="6" max="6" width="14.9296875" customWidth="1"/>
    <col min="7" max="7" width="9.4140625" customWidth="1"/>
  </cols>
  <sheetData>
    <row r="1" spans="2:7" x14ac:dyDescent="0.2">
      <c r="C1" s="190" t="s">
        <v>123</v>
      </c>
      <c r="D1" s="190"/>
      <c r="E1" s="190"/>
      <c r="F1" s="190"/>
      <c r="G1" s="190"/>
    </row>
    <row r="2" spans="2:7" ht="27.75" x14ac:dyDescent="0.2">
      <c r="C2" s="35" t="s">
        <v>124</v>
      </c>
      <c r="D2" s="36" t="s">
        <v>125</v>
      </c>
      <c r="E2" s="37" t="s">
        <v>126</v>
      </c>
      <c r="F2" s="37" t="s">
        <v>127</v>
      </c>
      <c r="G2" s="37" t="s">
        <v>128</v>
      </c>
    </row>
    <row r="3" spans="2:7" x14ac:dyDescent="0.2">
      <c r="B3">
        <v>201707</v>
      </c>
      <c r="C3" s="38">
        <v>0</v>
      </c>
      <c r="E3" s="40">
        <v>0</v>
      </c>
      <c r="F3" s="1"/>
      <c r="G3" s="1"/>
    </row>
    <row r="4" spans="2:7" x14ac:dyDescent="0.2">
      <c r="B4">
        <v>201708</v>
      </c>
      <c r="C4" s="38">
        <v>765</v>
      </c>
      <c r="E4" s="40">
        <v>41654.159999999974</v>
      </c>
      <c r="F4" s="41">
        <v>54.61</v>
      </c>
      <c r="G4" s="42"/>
    </row>
    <row r="5" spans="2:7" x14ac:dyDescent="0.2">
      <c r="B5">
        <v>201709</v>
      </c>
      <c r="C5" s="38">
        <v>1434</v>
      </c>
      <c r="D5" s="43">
        <f>(C5-C4)/C4</f>
        <v>0.87450980392156863</v>
      </c>
      <c r="E5" s="40">
        <v>92609.250000000102</v>
      </c>
      <c r="G5" s="42"/>
    </row>
    <row r="6" spans="2:7" x14ac:dyDescent="0.2">
      <c r="B6">
        <v>201710</v>
      </c>
      <c r="C6" s="38">
        <v>1992</v>
      </c>
      <c r="D6" s="43">
        <f t="shared" ref="D6:D12" si="0">(C6-C5)/C5</f>
        <v>0.38912133891213391</v>
      </c>
      <c r="E6" s="40">
        <v>112973.10000000002</v>
      </c>
      <c r="G6" s="42"/>
    </row>
    <row r="7" spans="2:7" x14ac:dyDescent="0.2">
      <c r="B7">
        <v>201711</v>
      </c>
      <c r="C7" s="38">
        <v>2615</v>
      </c>
      <c r="D7" s="43">
        <f t="shared" si="0"/>
        <v>0.31275100401606426</v>
      </c>
      <c r="E7" s="44">
        <f t="shared" ref="E7:E62" si="1">C7*F$4</f>
        <v>142805.15</v>
      </c>
      <c r="F7" s="45"/>
      <c r="G7" s="46"/>
    </row>
    <row r="8" spans="2:7" x14ac:dyDescent="0.2">
      <c r="B8">
        <v>201712</v>
      </c>
      <c r="C8" s="38">
        <v>3900</v>
      </c>
      <c r="D8" s="43">
        <f t="shared" si="0"/>
        <v>0.491395793499044</v>
      </c>
      <c r="E8" s="44">
        <f t="shared" si="1"/>
        <v>212979</v>
      </c>
      <c r="F8" s="45"/>
      <c r="G8" s="28">
        <f>'051018 Model_Assumptions'!C13*'051018 Model_Assumptions'!C11*(1-'051018 Model_Assumptions'!C15)*'051018 Model_Assumptions'!C7</f>
        <v>569.40442558674636</v>
      </c>
    </row>
    <row r="9" spans="2:7" x14ac:dyDescent="0.2">
      <c r="B9">
        <v>201801</v>
      </c>
      <c r="C9" s="38">
        <v>5206</v>
      </c>
      <c r="D9" s="43">
        <f t="shared" si="0"/>
        <v>0.33487179487179486</v>
      </c>
      <c r="E9" s="44">
        <f t="shared" si="1"/>
        <v>284299.65999999997</v>
      </c>
      <c r="F9" s="45"/>
      <c r="G9" s="46"/>
    </row>
    <row r="10" spans="2:7" x14ac:dyDescent="0.2">
      <c r="B10">
        <v>201802</v>
      </c>
      <c r="C10" s="38">
        <v>6150</v>
      </c>
      <c r="D10" s="43">
        <f t="shared" si="0"/>
        <v>0.18132923549750288</v>
      </c>
      <c r="E10" s="44">
        <f t="shared" si="1"/>
        <v>335851.5</v>
      </c>
      <c r="F10" s="45"/>
      <c r="G10" s="46"/>
    </row>
    <row r="11" spans="2:7" x14ac:dyDescent="0.2">
      <c r="B11">
        <v>201803</v>
      </c>
      <c r="C11" s="38">
        <v>7197</v>
      </c>
      <c r="D11" s="43">
        <f t="shared" si="0"/>
        <v>0.1702439024390244</v>
      </c>
      <c r="E11" s="44">
        <f t="shared" si="1"/>
        <v>393028.17</v>
      </c>
      <c r="F11" s="45"/>
      <c r="G11" s="46"/>
    </row>
    <row r="12" spans="2:7" x14ac:dyDescent="0.2">
      <c r="B12">
        <v>201804</v>
      </c>
      <c r="C12" s="38">
        <v>8081</v>
      </c>
      <c r="D12" s="47">
        <f t="shared" si="0"/>
        <v>0.12282895650965681</v>
      </c>
      <c r="E12" s="44">
        <f t="shared" si="1"/>
        <v>441303.41</v>
      </c>
      <c r="F12" s="45"/>
      <c r="G12" s="28">
        <f>'051018 Model_Assumptions'!C17*'051018 Model_Assumptions'!C11*'051018 Model_Assumptions'!C7</f>
        <v>1162.049848136217</v>
      </c>
    </row>
    <row r="13" spans="2:7" x14ac:dyDescent="0.2">
      <c r="B13">
        <v>201805</v>
      </c>
      <c r="C13" s="48">
        <f>C12*(1+D13)</f>
        <v>9293.15</v>
      </c>
      <c r="D13" s="3">
        <v>0.15</v>
      </c>
      <c r="E13" s="44">
        <f t="shared" si="1"/>
        <v>507498.9215</v>
      </c>
      <c r="F13" s="45"/>
      <c r="G13" s="46"/>
    </row>
    <row r="14" spans="2:7" x14ac:dyDescent="0.2">
      <c r="B14" s="49">
        <v>201806</v>
      </c>
      <c r="C14" s="50">
        <f>C13*(1+D14)</f>
        <v>10687.122499999999</v>
      </c>
      <c r="D14" s="51">
        <v>0.15</v>
      </c>
      <c r="E14" s="52">
        <f t="shared" si="1"/>
        <v>583623.75972500001</v>
      </c>
      <c r="F14" s="53">
        <f>SUM(E3:E14)</f>
        <v>3148626.0812250003</v>
      </c>
      <c r="G14" s="46"/>
    </row>
    <row r="15" spans="2:7" x14ac:dyDescent="0.2">
      <c r="B15">
        <v>201807</v>
      </c>
      <c r="C15" s="54">
        <f t="shared" ref="C15:C62" si="2">C14*(1+D15)</f>
        <v>11221.478625</v>
      </c>
      <c r="D15" s="55">
        <v>0.05</v>
      </c>
      <c r="E15" s="44">
        <f t="shared" si="1"/>
        <v>612804.94771124993</v>
      </c>
      <c r="F15" s="53"/>
      <c r="G15" s="46"/>
    </row>
    <row r="16" spans="2:7" x14ac:dyDescent="0.2">
      <c r="B16">
        <v>201808</v>
      </c>
      <c r="C16" s="54">
        <f t="shared" si="2"/>
        <v>11782.552556250001</v>
      </c>
      <c r="D16" s="3">
        <v>0.05</v>
      </c>
      <c r="E16" s="44">
        <f t="shared" si="1"/>
        <v>643445.19509681256</v>
      </c>
      <c r="F16" s="53"/>
      <c r="G16" s="46"/>
    </row>
    <row r="17" spans="2:7" x14ac:dyDescent="0.2">
      <c r="B17">
        <v>201809</v>
      </c>
      <c r="C17" s="54">
        <f t="shared" si="2"/>
        <v>12371.680184062501</v>
      </c>
      <c r="D17" s="3">
        <v>0.05</v>
      </c>
      <c r="E17" s="44">
        <f t="shared" si="1"/>
        <v>675617.45485165319</v>
      </c>
      <c r="F17" s="53"/>
      <c r="G17" s="46"/>
    </row>
    <row r="18" spans="2:7" x14ac:dyDescent="0.2">
      <c r="B18">
        <v>201810</v>
      </c>
      <c r="C18" s="54">
        <f t="shared" si="2"/>
        <v>12990.264193265626</v>
      </c>
      <c r="D18" s="3">
        <v>0.05</v>
      </c>
      <c r="E18" s="44">
        <f t="shared" si="1"/>
        <v>709398.32759423589</v>
      </c>
      <c r="F18" s="53"/>
      <c r="G18" s="46"/>
    </row>
    <row r="19" spans="2:7" x14ac:dyDescent="0.2">
      <c r="B19">
        <v>201811</v>
      </c>
      <c r="C19" s="54">
        <f t="shared" si="2"/>
        <v>13250.069477130939</v>
      </c>
      <c r="D19" s="3">
        <v>0.02</v>
      </c>
      <c r="E19" s="44">
        <f t="shared" si="1"/>
        <v>723586.29414612055</v>
      </c>
      <c r="F19" s="53"/>
      <c r="G19" s="42"/>
    </row>
    <row r="20" spans="2:7" x14ac:dyDescent="0.2">
      <c r="B20">
        <v>201812</v>
      </c>
      <c r="C20" s="54">
        <f t="shared" si="2"/>
        <v>13515.070866673557</v>
      </c>
      <c r="D20" s="3">
        <v>0.02</v>
      </c>
      <c r="E20" s="44">
        <f t="shared" si="1"/>
        <v>738058.02002904296</v>
      </c>
      <c r="F20" s="53"/>
      <c r="G20" s="42"/>
    </row>
    <row r="21" spans="2:7" x14ac:dyDescent="0.2">
      <c r="B21">
        <v>201901</v>
      </c>
      <c r="C21" s="54">
        <f t="shared" si="2"/>
        <v>13785.37228400703</v>
      </c>
      <c r="D21" s="3">
        <v>0.02</v>
      </c>
      <c r="E21" s="44">
        <f t="shared" si="1"/>
        <v>752819.18042962393</v>
      </c>
      <c r="F21" s="53"/>
      <c r="G21" s="1"/>
    </row>
    <row r="22" spans="2:7" x14ac:dyDescent="0.2">
      <c r="B22">
        <v>201902</v>
      </c>
      <c r="C22" s="54">
        <f t="shared" si="2"/>
        <v>14061.07972968717</v>
      </c>
      <c r="D22" s="3">
        <v>0.02</v>
      </c>
      <c r="E22" s="44">
        <f t="shared" si="1"/>
        <v>767875.56403821637</v>
      </c>
      <c r="F22" s="53"/>
      <c r="G22" s="1"/>
    </row>
    <row r="23" spans="2:7" x14ac:dyDescent="0.2">
      <c r="B23">
        <v>201903</v>
      </c>
      <c r="C23" s="54">
        <f t="shared" si="2"/>
        <v>14342.301324280914</v>
      </c>
      <c r="D23" s="3">
        <v>0.02</v>
      </c>
      <c r="E23" s="44">
        <f t="shared" si="1"/>
        <v>783233.07531898073</v>
      </c>
      <c r="F23" s="53"/>
      <c r="G23" s="1"/>
    </row>
    <row r="24" spans="2:7" x14ac:dyDescent="0.2">
      <c r="B24">
        <v>201904</v>
      </c>
      <c r="C24" s="54">
        <f t="shared" si="2"/>
        <v>14915.993377252151</v>
      </c>
      <c r="D24" s="3">
        <v>0.04</v>
      </c>
      <c r="E24" s="44">
        <f t="shared" si="1"/>
        <v>814562.39833173994</v>
      </c>
      <c r="F24" s="53"/>
      <c r="G24" s="1"/>
    </row>
    <row r="25" spans="2:7" x14ac:dyDescent="0.2">
      <c r="B25">
        <v>201905</v>
      </c>
      <c r="C25" s="54">
        <f t="shared" si="2"/>
        <v>15512.633112342237</v>
      </c>
      <c r="D25" s="3">
        <v>0.04</v>
      </c>
      <c r="E25" s="44">
        <f t="shared" si="1"/>
        <v>847144.89426500956</v>
      </c>
      <c r="F25" s="53"/>
      <c r="G25" s="1"/>
    </row>
    <row r="26" spans="2:7" x14ac:dyDescent="0.2">
      <c r="B26">
        <v>201906</v>
      </c>
      <c r="C26" s="54">
        <f t="shared" si="2"/>
        <v>16133.138436835927</v>
      </c>
      <c r="D26" s="3">
        <v>0.04</v>
      </c>
      <c r="E26" s="44">
        <f t="shared" si="1"/>
        <v>881030.69003560999</v>
      </c>
      <c r="F26" s="53">
        <f>SUM(E15:E26)</f>
        <v>8949576.0418482944</v>
      </c>
      <c r="G26" s="1"/>
    </row>
    <row r="27" spans="2:7" x14ac:dyDescent="0.2">
      <c r="B27">
        <v>201907</v>
      </c>
      <c r="C27" s="54">
        <f t="shared" si="2"/>
        <v>16617.132589941004</v>
      </c>
      <c r="D27" s="3">
        <v>0.03</v>
      </c>
      <c r="E27" s="44">
        <f t="shared" si="1"/>
        <v>907461.61073667824</v>
      </c>
      <c r="F27" s="53"/>
    </row>
    <row r="28" spans="2:7" x14ac:dyDescent="0.2">
      <c r="B28">
        <v>201908</v>
      </c>
      <c r="C28" s="54">
        <f t="shared" si="2"/>
        <v>17115.646567639236</v>
      </c>
      <c r="D28" s="3">
        <v>0.03</v>
      </c>
      <c r="E28" s="44">
        <f t="shared" si="1"/>
        <v>934685.45905877871</v>
      </c>
      <c r="F28" s="53"/>
    </row>
    <row r="29" spans="2:7" x14ac:dyDescent="0.2">
      <c r="B29">
        <v>201909</v>
      </c>
      <c r="C29" s="54">
        <f t="shared" si="2"/>
        <v>17629.115964668414</v>
      </c>
      <c r="D29" s="3">
        <v>0.03</v>
      </c>
      <c r="E29" s="44">
        <f t="shared" si="1"/>
        <v>962726.02283054206</v>
      </c>
      <c r="F29" s="53"/>
    </row>
    <row r="30" spans="2:7" x14ac:dyDescent="0.2">
      <c r="B30">
        <v>201910</v>
      </c>
      <c r="C30" s="54">
        <f t="shared" si="2"/>
        <v>18157.989443608465</v>
      </c>
      <c r="D30" s="3">
        <v>0.03</v>
      </c>
      <c r="E30" s="44">
        <f t="shared" si="1"/>
        <v>991607.80351545825</v>
      </c>
      <c r="F30" s="53"/>
    </row>
    <row r="31" spans="2:7" x14ac:dyDescent="0.2">
      <c r="B31">
        <v>201911</v>
      </c>
      <c r="C31" s="54">
        <f t="shared" si="2"/>
        <v>18521.149232480635</v>
      </c>
      <c r="D31" s="3">
        <v>0.02</v>
      </c>
      <c r="E31" s="44">
        <f t="shared" si="1"/>
        <v>1011439.9595857675</v>
      </c>
      <c r="F31" s="53"/>
    </row>
    <row r="32" spans="2:7" x14ac:dyDescent="0.2">
      <c r="B32">
        <v>201912</v>
      </c>
      <c r="C32" s="54">
        <f t="shared" si="2"/>
        <v>18891.572217130248</v>
      </c>
      <c r="D32" s="3">
        <v>0.02</v>
      </c>
      <c r="E32" s="44">
        <f t="shared" si="1"/>
        <v>1031668.7587774828</v>
      </c>
      <c r="F32" s="53"/>
    </row>
    <row r="33" spans="2:6" x14ac:dyDescent="0.2">
      <c r="B33">
        <v>202001</v>
      </c>
      <c r="C33" s="54">
        <f t="shared" si="2"/>
        <v>19269.403661472854</v>
      </c>
      <c r="D33" s="3">
        <v>0.02</v>
      </c>
      <c r="E33" s="44">
        <f t="shared" si="1"/>
        <v>1052302.1339530325</v>
      </c>
      <c r="F33" s="53"/>
    </row>
    <row r="34" spans="2:6" x14ac:dyDescent="0.2">
      <c r="B34">
        <v>202002</v>
      </c>
      <c r="C34" s="54">
        <f t="shared" si="2"/>
        <v>19654.79173470231</v>
      </c>
      <c r="D34" s="3">
        <v>0.02</v>
      </c>
      <c r="E34" s="44">
        <f t="shared" si="1"/>
        <v>1073348.1766320933</v>
      </c>
      <c r="F34" s="53"/>
    </row>
    <row r="35" spans="2:6" x14ac:dyDescent="0.2">
      <c r="B35">
        <v>202003</v>
      </c>
      <c r="C35" s="54">
        <f t="shared" si="2"/>
        <v>20047.887569396356</v>
      </c>
      <c r="D35" s="3">
        <v>0.02</v>
      </c>
      <c r="E35" s="44">
        <f t="shared" si="1"/>
        <v>1094815.140164735</v>
      </c>
      <c r="F35" s="53"/>
    </row>
    <row r="36" spans="2:6" x14ac:dyDescent="0.2">
      <c r="B36">
        <v>202004</v>
      </c>
      <c r="C36" s="54">
        <f t="shared" si="2"/>
        <v>20649.324196478246</v>
      </c>
      <c r="D36" s="3">
        <v>0.03</v>
      </c>
      <c r="E36" s="44">
        <f t="shared" si="1"/>
        <v>1127659.5943696771</v>
      </c>
      <c r="F36" s="53"/>
    </row>
    <row r="37" spans="2:6" x14ac:dyDescent="0.2">
      <c r="B37">
        <v>202005</v>
      </c>
      <c r="C37" s="54">
        <f t="shared" si="2"/>
        <v>21268.803922372594</v>
      </c>
      <c r="D37" s="3">
        <v>0.03</v>
      </c>
      <c r="E37" s="44">
        <f t="shared" si="1"/>
        <v>1161489.3822007673</v>
      </c>
      <c r="F37" s="53"/>
    </row>
    <row r="38" spans="2:6" x14ac:dyDescent="0.2">
      <c r="B38">
        <v>202006</v>
      </c>
      <c r="C38" s="54">
        <f t="shared" si="2"/>
        <v>21906.868040043773</v>
      </c>
      <c r="D38" s="3">
        <v>0.03</v>
      </c>
      <c r="E38" s="44">
        <f t="shared" si="1"/>
        <v>1196334.0636667905</v>
      </c>
      <c r="F38" s="53">
        <f>SUM(E27:E38)</f>
        <v>12545538.105491802</v>
      </c>
    </row>
    <row r="39" spans="2:6" x14ac:dyDescent="0.2">
      <c r="B39">
        <v>202007</v>
      </c>
      <c r="C39" s="54">
        <f t="shared" si="2"/>
        <v>22345.00540084465</v>
      </c>
      <c r="D39" s="3">
        <v>0.02</v>
      </c>
      <c r="E39" s="44">
        <f t="shared" si="1"/>
        <v>1220260.7449401263</v>
      </c>
      <c r="F39" s="53"/>
    </row>
    <row r="40" spans="2:6" x14ac:dyDescent="0.2">
      <c r="B40">
        <v>202008</v>
      </c>
      <c r="C40" s="54">
        <f t="shared" si="2"/>
        <v>22791.905508861542</v>
      </c>
      <c r="D40" s="3">
        <v>0.02</v>
      </c>
      <c r="E40" s="44">
        <f t="shared" si="1"/>
        <v>1244665.9598389289</v>
      </c>
      <c r="F40" s="53"/>
    </row>
    <row r="41" spans="2:6" x14ac:dyDescent="0.2">
      <c r="B41">
        <v>202009</v>
      </c>
      <c r="C41" s="54">
        <f t="shared" si="2"/>
        <v>23247.743619038774</v>
      </c>
      <c r="D41" s="3">
        <v>0.02</v>
      </c>
      <c r="E41" s="44">
        <f t="shared" si="1"/>
        <v>1269559.2790357075</v>
      </c>
      <c r="F41" s="53"/>
    </row>
    <row r="42" spans="2:6" x14ac:dyDescent="0.2">
      <c r="B42">
        <v>202010</v>
      </c>
      <c r="C42" s="54">
        <f t="shared" si="2"/>
        <v>23712.698491419549</v>
      </c>
      <c r="D42" s="3">
        <v>0.02</v>
      </c>
      <c r="E42" s="44">
        <f t="shared" si="1"/>
        <v>1294950.4646164216</v>
      </c>
      <c r="F42" s="53"/>
    </row>
    <row r="43" spans="2:6" x14ac:dyDescent="0.2">
      <c r="B43">
        <v>202011</v>
      </c>
      <c r="C43" s="54">
        <f t="shared" si="2"/>
        <v>23712.698491419549</v>
      </c>
      <c r="D43" s="3">
        <v>0</v>
      </c>
      <c r="E43" s="44">
        <f t="shared" si="1"/>
        <v>1294950.4646164216</v>
      </c>
      <c r="F43" s="53"/>
    </row>
    <row r="44" spans="2:6" x14ac:dyDescent="0.2">
      <c r="B44">
        <v>202012</v>
      </c>
      <c r="C44" s="54">
        <f t="shared" si="2"/>
        <v>23712.698491419549</v>
      </c>
      <c r="D44" s="3">
        <v>0</v>
      </c>
      <c r="E44" s="44">
        <f t="shared" si="1"/>
        <v>1294950.4646164216</v>
      </c>
      <c r="F44" s="53"/>
    </row>
    <row r="45" spans="2:6" x14ac:dyDescent="0.2">
      <c r="B45">
        <v>202101</v>
      </c>
      <c r="C45" s="54">
        <f t="shared" si="2"/>
        <v>23712.698491419549</v>
      </c>
      <c r="D45" s="3">
        <v>0</v>
      </c>
      <c r="E45" s="44">
        <f t="shared" si="1"/>
        <v>1294950.4646164216</v>
      </c>
      <c r="F45" s="53"/>
    </row>
    <row r="46" spans="2:6" x14ac:dyDescent="0.2">
      <c r="B46">
        <v>202102</v>
      </c>
      <c r="C46" s="54">
        <f t="shared" si="2"/>
        <v>23712.698491419549</v>
      </c>
      <c r="D46" s="3">
        <v>0</v>
      </c>
      <c r="E46" s="44">
        <f t="shared" si="1"/>
        <v>1294950.4646164216</v>
      </c>
      <c r="F46" s="53"/>
    </row>
    <row r="47" spans="2:6" x14ac:dyDescent="0.2">
      <c r="B47">
        <v>202103</v>
      </c>
      <c r="C47" s="54">
        <f t="shared" si="2"/>
        <v>23712.698491419549</v>
      </c>
      <c r="D47" s="3">
        <v>0</v>
      </c>
      <c r="E47" s="44">
        <f t="shared" si="1"/>
        <v>1294950.4646164216</v>
      </c>
      <c r="F47" s="53"/>
    </row>
    <row r="48" spans="2:6" x14ac:dyDescent="0.2">
      <c r="B48">
        <v>202104</v>
      </c>
      <c r="C48" s="54">
        <f t="shared" si="2"/>
        <v>24186.95246124794</v>
      </c>
      <c r="D48" s="3">
        <v>0.02</v>
      </c>
      <c r="E48" s="44">
        <f t="shared" si="1"/>
        <v>1320849.4739087499</v>
      </c>
      <c r="F48" s="53"/>
    </row>
    <row r="49" spans="2:6" x14ac:dyDescent="0.2">
      <c r="B49">
        <v>202105</v>
      </c>
      <c r="C49" s="54">
        <f t="shared" si="2"/>
        <v>24670.691510472898</v>
      </c>
      <c r="D49" s="3">
        <v>0.02</v>
      </c>
      <c r="E49" s="44">
        <f t="shared" si="1"/>
        <v>1347266.4633869249</v>
      </c>
      <c r="F49" s="53"/>
    </row>
    <row r="50" spans="2:6" x14ac:dyDescent="0.2">
      <c r="B50" s="56">
        <v>202106</v>
      </c>
      <c r="C50" s="57">
        <f t="shared" si="2"/>
        <v>25164.105340682356</v>
      </c>
      <c r="D50" s="3">
        <v>0.02</v>
      </c>
      <c r="E50" s="44">
        <f t="shared" si="1"/>
        <v>1374211.7926546633</v>
      </c>
      <c r="F50" s="53">
        <f>SUM(E39:E50)</f>
        <v>15546516.501463631</v>
      </c>
    </row>
    <row r="51" spans="2:6" x14ac:dyDescent="0.2">
      <c r="B51">
        <v>202107</v>
      </c>
      <c r="C51" s="54">
        <f t="shared" si="2"/>
        <v>25164.105340682356</v>
      </c>
      <c r="D51" s="3">
        <v>0</v>
      </c>
      <c r="E51" s="44">
        <f t="shared" si="1"/>
        <v>1374211.7926546633</v>
      </c>
      <c r="F51" s="53"/>
    </row>
    <row r="52" spans="2:6" x14ac:dyDescent="0.2">
      <c r="B52">
        <v>202108</v>
      </c>
      <c r="C52" s="54">
        <f t="shared" si="2"/>
        <v>25164.105340682356</v>
      </c>
      <c r="D52" s="3">
        <v>0</v>
      </c>
      <c r="E52" s="44">
        <f t="shared" si="1"/>
        <v>1374211.7926546633</v>
      </c>
      <c r="F52" s="53"/>
    </row>
    <row r="53" spans="2:6" x14ac:dyDescent="0.2">
      <c r="B53">
        <v>202109</v>
      </c>
      <c r="C53" s="54">
        <f t="shared" si="2"/>
        <v>25164.105340682356</v>
      </c>
      <c r="D53" s="3">
        <v>0</v>
      </c>
      <c r="E53" s="44">
        <f t="shared" si="1"/>
        <v>1374211.7926546633</v>
      </c>
      <c r="F53" s="53"/>
    </row>
    <row r="54" spans="2:6" x14ac:dyDescent="0.2">
      <c r="B54">
        <v>202110</v>
      </c>
      <c r="C54" s="54">
        <f t="shared" si="2"/>
        <v>25164.105340682356</v>
      </c>
      <c r="D54" s="3">
        <v>0</v>
      </c>
      <c r="E54" s="44">
        <f t="shared" si="1"/>
        <v>1374211.7926546633</v>
      </c>
      <c r="F54" s="53"/>
    </row>
    <row r="55" spans="2:6" x14ac:dyDescent="0.2">
      <c r="B55">
        <v>202111</v>
      </c>
      <c r="C55" s="54">
        <f t="shared" si="2"/>
        <v>25164.105340682356</v>
      </c>
      <c r="D55" s="3">
        <v>0</v>
      </c>
      <c r="E55" s="44">
        <f t="shared" si="1"/>
        <v>1374211.7926546633</v>
      </c>
      <c r="F55" s="53"/>
    </row>
    <row r="56" spans="2:6" x14ac:dyDescent="0.2">
      <c r="B56">
        <v>202112</v>
      </c>
      <c r="C56" s="54">
        <f t="shared" si="2"/>
        <v>25164.105340682356</v>
      </c>
      <c r="D56" s="3">
        <v>0</v>
      </c>
      <c r="E56" s="44">
        <f t="shared" si="1"/>
        <v>1374211.7926546633</v>
      </c>
      <c r="F56" s="53"/>
    </row>
    <row r="57" spans="2:6" x14ac:dyDescent="0.2">
      <c r="B57">
        <v>202201</v>
      </c>
      <c r="C57" s="54">
        <f t="shared" si="2"/>
        <v>25164.105340682356</v>
      </c>
      <c r="D57" s="3">
        <v>0</v>
      </c>
      <c r="E57" s="44">
        <f t="shared" si="1"/>
        <v>1374211.7926546633</v>
      </c>
      <c r="F57" s="53"/>
    </row>
    <row r="58" spans="2:6" x14ac:dyDescent="0.2">
      <c r="B58">
        <v>202202</v>
      </c>
      <c r="C58" s="54">
        <f t="shared" si="2"/>
        <v>25164.105340682356</v>
      </c>
      <c r="D58" s="3">
        <v>0</v>
      </c>
      <c r="E58" s="44">
        <f t="shared" si="1"/>
        <v>1374211.7926546633</v>
      </c>
      <c r="F58" s="53"/>
    </row>
    <row r="59" spans="2:6" x14ac:dyDescent="0.2">
      <c r="B59">
        <v>202203</v>
      </c>
      <c r="C59" s="54">
        <f t="shared" si="2"/>
        <v>25164.105340682356</v>
      </c>
      <c r="D59" s="3">
        <v>0</v>
      </c>
      <c r="E59" s="44">
        <f t="shared" si="1"/>
        <v>1374211.7926546633</v>
      </c>
      <c r="F59" s="53"/>
    </row>
    <row r="60" spans="2:6" x14ac:dyDescent="0.2">
      <c r="B60">
        <v>202204</v>
      </c>
      <c r="C60" s="54">
        <f t="shared" si="2"/>
        <v>25164.105340682356</v>
      </c>
      <c r="D60" s="3">
        <v>0</v>
      </c>
      <c r="E60" s="44">
        <f t="shared" si="1"/>
        <v>1374211.7926546633</v>
      </c>
      <c r="F60" s="53"/>
    </row>
    <row r="61" spans="2:6" x14ac:dyDescent="0.2">
      <c r="B61">
        <v>202205</v>
      </c>
      <c r="C61" s="54">
        <f t="shared" si="2"/>
        <v>25164.105340682356</v>
      </c>
      <c r="D61" s="3">
        <v>0</v>
      </c>
      <c r="E61" s="44">
        <f t="shared" si="1"/>
        <v>1374211.7926546633</v>
      </c>
      <c r="F61" s="53"/>
    </row>
    <row r="62" spans="2:6" x14ac:dyDescent="0.2">
      <c r="B62">
        <v>202206</v>
      </c>
      <c r="C62" s="54">
        <f t="shared" si="2"/>
        <v>25164.105340682356</v>
      </c>
      <c r="D62" s="3">
        <v>0</v>
      </c>
      <c r="E62" s="44">
        <f t="shared" si="1"/>
        <v>1374211.7926546633</v>
      </c>
      <c r="F62" s="53"/>
    </row>
  </sheetData>
  <mergeCells count="1">
    <mergeCell ref="C1:G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workbookViewId="0"/>
  </sheetViews>
  <sheetFormatPr defaultColWidth="8.7421875" defaultRowHeight="15" x14ac:dyDescent="0.2"/>
  <cols>
    <col min="2" max="2" width="12.375" bestFit="1" customWidth="1"/>
    <col min="3" max="3" width="12.375" customWidth="1"/>
    <col min="4" max="4" width="14.125" style="1" customWidth="1"/>
  </cols>
  <sheetData>
    <row r="1" spans="1:4" x14ac:dyDescent="0.2">
      <c r="A1" t="str">
        <f>'051018 Model_Model'!C1</f>
        <v>PROJECTED SUBSCRIPTION 1 (4-YR RAMP)</v>
      </c>
    </row>
    <row r="2" spans="1:4" ht="27.75" x14ac:dyDescent="0.2">
      <c r="A2" s="20" t="s">
        <v>129</v>
      </c>
      <c r="B2" s="58" t="s">
        <v>130</v>
      </c>
      <c r="C2" s="59" t="s">
        <v>131</v>
      </c>
      <c r="D2" s="59" t="s">
        <v>132</v>
      </c>
    </row>
    <row r="3" spans="1:4" x14ac:dyDescent="0.2">
      <c r="A3" s="21" t="s">
        <v>133</v>
      </c>
      <c r="B3" s="60">
        <f>SUM('051018 Model_Model'!E3:E14)</f>
        <v>3148626.0812250003</v>
      </c>
      <c r="C3" s="60"/>
      <c r="D3" s="22">
        <f>'051018 Model_Model'!C14</f>
        <v>10687.122499999999</v>
      </c>
    </row>
    <row r="4" spans="1:4" x14ac:dyDescent="0.2">
      <c r="A4" s="61" t="s">
        <v>134</v>
      </c>
      <c r="B4" s="62">
        <f>SUM('051018 Model_Model'!E15:E26)</f>
        <v>8949576.0418482944</v>
      </c>
      <c r="C4" s="63">
        <f>(D4-D3)/D3</f>
        <v>0.5095867420660638</v>
      </c>
      <c r="D4" s="64">
        <f>'051018 Model_Model'!C26</f>
        <v>16133.138436835927</v>
      </c>
    </row>
    <row r="5" spans="1:4" x14ac:dyDescent="0.2">
      <c r="A5" s="65" t="s">
        <v>135</v>
      </c>
      <c r="B5" s="66">
        <f>SUM('051018 Model_Model'!E27:E38)</f>
        <v>12545538.105491802</v>
      </c>
      <c r="C5" s="67">
        <f>(D5-D4)/D4</f>
        <v>0.3578801251729794</v>
      </c>
      <c r="D5" s="68">
        <f>'051018 Model_Model'!C38</f>
        <v>21906.868040043773</v>
      </c>
    </row>
    <row r="6" spans="1:4" x14ac:dyDescent="0.2">
      <c r="A6" s="4" t="s">
        <v>136</v>
      </c>
      <c r="B6" s="69">
        <f>SUM('051018 Model_Model'!E39:E50)</f>
        <v>15546516.501463631</v>
      </c>
      <c r="C6" s="70">
        <f>(D6-D5)/D5</f>
        <v>0.14868566764927998</v>
      </c>
      <c r="D6" s="71">
        <f>'051018 Model_Model'!C50</f>
        <v>25164.105340682356</v>
      </c>
    </row>
    <row r="7" spans="1:4" x14ac:dyDescent="0.2">
      <c r="A7" s="65" t="s">
        <v>137</v>
      </c>
      <c r="B7" s="66">
        <f>SUM('051018 Model_Model'!E51:E62)</f>
        <v>16490541.51185596</v>
      </c>
      <c r="C7" s="67">
        <f>(D7-D6)/D6</f>
        <v>0</v>
      </c>
      <c r="D7" s="68">
        <f>'051018 Model_Model'!C62</f>
        <v>25164.105340682356</v>
      </c>
    </row>
  </sheetData>
  <pageMargins left="0.7" right="0.7" top="0.75" bottom="0.75" header="0.3" footer="0.3"/>
  <pageSetup scale="72" orientation="landscape" r:id="rId1"/>
  <headerFooter>
    <oddHeader>&amp;CTAP Lost Revenue Projection
Revised Baseline</oddHeader>
    <oddFooter>&amp;CDraft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9"/>
  <sheetViews>
    <sheetView workbookViewId="0"/>
  </sheetViews>
  <sheetFormatPr defaultColWidth="8.7421875" defaultRowHeight="15" x14ac:dyDescent="0.2"/>
  <cols>
    <col min="1" max="1" width="30.1328125" customWidth="1"/>
    <col min="2" max="2" width="82.59765625" customWidth="1"/>
  </cols>
  <sheetData>
    <row r="1" spans="1:2" x14ac:dyDescent="0.2">
      <c r="A1" s="2" t="s">
        <v>3</v>
      </c>
      <c r="B1" s="2" t="s">
        <v>4</v>
      </c>
    </row>
    <row r="2" spans="1:2" x14ac:dyDescent="0.2">
      <c r="A2" t="s">
        <v>5</v>
      </c>
      <c r="B2" t="s">
        <v>6</v>
      </c>
    </row>
    <row r="3" spans="1:2" x14ac:dyDescent="0.2">
      <c r="A3" t="s">
        <v>7</v>
      </c>
      <c r="B3" t="s">
        <v>8</v>
      </c>
    </row>
    <row r="4" spans="1:2" x14ac:dyDescent="0.2">
      <c r="A4" t="s">
        <v>9</v>
      </c>
      <c r="B4" t="s">
        <v>10</v>
      </c>
    </row>
    <row r="5" spans="1:2" x14ac:dyDescent="0.2">
      <c r="A5" t="s">
        <v>11</v>
      </c>
      <c r="B5" t="s">
        <v>12</v>
      </c>
    </row>
    <row r="6" spans="1:2" x14ac:dyDescent="0.2">
      <c r="A6" t="s">
        <v>13</v>
      </c>
      <c r="B6" s="7" t="s">
        <v>14</v>
      </c>
    </row>
    <row r="7" spans="1:2" x14ac:dyDescent="0.2">
      <c r="A7" t="s">
        <v>15</v>
      </c>
      <c r="B7" s="7" t="s">
        <v>16</v>
      </c>
    </row>
    <row r="8" spans="1:2" x14ac:dyDescent="0.2">
      <c r="A8" t="s">
        <v>17</v>
      </c>
      <c r="B8" s="7" t="s">
        <v>18</v>
      </c>
    </row>
    <row r="9" spans="1:2" x14ac:dyDescent="0.2">
      <c r="A9" t="s">
        <v>19</v>
      </c>
      <c r="B9" s="7" t="s">
        <v>20</v>
      </c>
    </row>
  </sheetData>
  <pageMargins left="0.7" right="0.7" top="0.75" bottom="0.75" header="0.3" footer="0.3"/>
  <pageSetup orientation="landscape" r:id="rId1"/>
  <headerFooter>
    <oddHeader xml:space="preserve">&amp;L2025 TAP Reconcilable Rider Reports and Projection Model: &amp;A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J26"/>
  <sheetViews>
    <sheetView workbookViewId="0">
      <selection activeCell="D22" sqref="D22"/>
    </sheetView>
  </sheetViews>
  <sheetFormatPr defaultColWidth="8.7421875" defaultRowHeight="15" x14ac:dyDescent="0.2"/>
  <cols>
    <col min="1" max="1" width="42.5078125" customWidth="1"/>
    <col min="2" max="2" width="17.21875" customWidth="1"/>
    <col min="3" max="3" width="3.2265625" customWidth="1"/>
    <col min="4" max="4" width="15.19921875" customWidth="1"/>
    <col min="5" max="6" width="16.27734375" customWidth="1"/>
    <col min="7" max="7" width="13.1796875" customWidth="1"/>
    <col min="8" max="9" width="17.484375" customWidth="1"/>
    <col min="11" max="11" width="15.33203125" customWidth="1"/>
    <col min="12" max="12" width="11.703125" bestFit="1" customWidth="1"/>
  </cols>
  <sheetData>
    <row r="1" spans="1:10" x14ac:dyDescent="0.2">
      <c r="A1" s="80" t="s">
        <v>21</v>
      </c>
      <c r="B1" s="146"/>
      <c r="C1" s="146"/>
      <c r="D1" s="146"/>
      <c r="E1" s="146"/>
      <c r="F1" s="146"/>
      <c r="G1" s="146"/>
      <c r="H1" s="146"/>
      <c r="I1" s="147"/>
    </row>
    <row r="2" spans="1:10" x14ac:dyDescent="0.2">
      <c r="A2" s="148" t="s">
        <v>22</v>
      </c>
      <c r="B2" s="49"/>
      <c r="C2" s="100" t="s">
        <v>23</v>
      </c>
      <c r="D2" s="49"/>
      <c r="E2" s="49"/>
      <c r="I2" s="141"/>
    </row>
    <row r="3" spans="1:10" x14ac:dyDescent="0.2">
      <c r="A3" s="149" t="s">
        <v>24</v>
      </c>
      <c r="B3" s="158" t="s">
        <v>25</v>
      </c>
      <c r="C3" t="s">
        <v>26</v>
      </c>
      <c r="G3" s="171"/>
      <c r="H3" s="171"/>
      <c r="I3" s="141"/>
    </row>
    <row r="4" spans="1:10" ht="14.25" customHeight="1" x14ac:dyDescent="0.2">
      <c r="A4" s="149" t="s">
        <v>27</v>
      </c>
      <c r="B4" s="169">
        <f>G10/F10</f>
        <v>54.617557359910002</v>
      </c>
      <c r="C4" t="s">
        <v>28</v>
      </c>
      <c r="E4" s="142"/>
      <c r="G4" s="171"/>
      <c r="H4" s="172"/>
      <c r="I4" s="141"/>
    </row>
    <row r="5" spans="1:10" ht="14.25" customHeight="1" x14ac:dyDescent="0.2">
      <c r="A5" s="149" t="s">
        <v>29</v>
      </c>
      <c r="B5" s="170">
        <f>H10/F10*100</f>
        <v>678.76859438389943</v>
      </c>
      <c r="C5" t="s">
        <v>30</v>
      </c>
      <c r="E5" s="142"/>
      <c r="F5" s="143"/>
      <c r="G5" s="171"/>
      <c r="H5" s="173"/>
      <c r="I5" s="141"/>
    </row>
    <row r="6" spans="1:10" x14ac:dyDescent="0.2">
      <c r="A6" s="150" t="s">
        <v>31</v>
      </c>
      <c r="G6" s="174"/>
      <c r="H6" s="174"/>
      <c r="I6" s="141"/>
    </row>
    <row r="7" spans="1:10" ht="15.75" thickBot="1" x14ac:dyDescent="0.25">
      <c r="A7" s="151"/>
      <c r="B7" s="144"/>
      <c r="C7" s="144"/>
      <c r="D7" s="144"/>
      <c r="E7" s="144"/>
      <c r="F7" s="144"/>
      <c r="G7" s="144"/>
      <c r="H7" s="144"/>
      <c r="I7" s="145"/>
    </row>
    <row r="8" spans="1:10" ht="41.25" x14ac:dyDescent="0.2">
      <c r="A8" s="80"/>
      <c r="B8" s="104"/>
      <c r="C8" s="104"/>
      <c r="D8" s="104"/>
      <c r="E8" s="99" t="s">
        <v>32</v>
      </c>
      <c r="F8" s="99" t="s">
        <v>33</v>
      </c>
      <c r="G8" s="152" t="s">
        <v>34</v>
      </c>
      <c r="H8" s="152" t="s">
        <v>35</v>
      </c>
      <c r="I8" s="98" t="s">
        <v>36</v>
      </c>
      <c r="J8" s="4"/>
    </row>
    <row r="9" spans="1:10" x14ac:dyDescent="0.2">
      <c r="A9" s="93" t="s">
        <v>37</v>
      </c>
      <c r="B9" s="125">
        <v>45383</v>
      </c>
      <c r="C9" s="116" t="s">
        <v>38</v>
      </c>
      <c r="D9" s="125">
        <v>45505</v>
      </c>
      <c r="E9" s="81">
        <f>AVERAGEIFS(TRR_Projections!$5:$5,TRR_Projections!$4:$4,"&gt;="&amp;TRR_Summary!B9,TRR_Projections!$4:$4,"&lt;="&amp;TRR_Summary!D9)</f>
        <v>57180.800000000003</v>
      </c>
      <c r="F9" s="81">
        <f>SUMIFS(TRR_Projections!$5:$5,TRR_Projections!$4:$4,"&gt;="&amp;TRR_Summary!B9,TRR_Projections!$4:$4,"&lt;="&amp;TRR_Summary!D9)</f>
        <v>285904</v>
      </c>
      <c r="G9" s="121">
        <f>SUMIFS(TRR_Projections!$7:$7,TRR_Projections!$4:$4,"&gt;="&amp;TRR_Summary!B9,TRR_Projections!$4:$4,"&lt;="&amp;TRR_Summary!D9)</f>
        <v>12091024.039999999</v>
      </c>
      <c r="H9" s="81">
        <f>SUMIFS(TRR_Projections!$9:$9,TRR_Projections!$4:$4,"&gt;="&amp;TRR_Summary!B9,TRR_Projections!$4:$4,"&lt;="&amp;TRR_Summary!D9)</f>
        <v>1822972</v>
      </c>
      <c r="I9" s="138">
        <f>SUMIFS(TRR_Projections!$11:$11,TRR_Projections!$4:$4,"&gt;="&amp;TRR_Summary!B9,TRR_Projections!$4:$4,"&lt;="&amp;TRR_Summary!D9)</f>
        <v>1821213</v>
      </c>
      <c r="J9" s="4"/>
    </row>
    <row r="10" spans="1:10" x14ac:dyDescent="0.2">
      <c r="A10" s="94" t="s">
        <v>39</v>
      </c>
      <c r="B10" s="118">
        <f>EDATE(D9,1)</f>
        <v>45536</v>
      </c>
      <c r="C10" s="117" t="s">
        <v>38</v>
      </c>
      <c r="D10" s="126">
        <v>45597</v>
      </c>
      <c r="E10" s="82">
        <f>AVERAGEIFS(TRR_Projections!$5:$5,TRR_Projections!$4:$4,"&gt;="&amp;TRR_Summary!B10,TRR_Projections!$4:$4,"&lt;="&amp;TRR_Summary!D10)</f>
        <v>58664.666666666664</v>
      </c>
      <c r="F10" s="82">
        <f>SUMIFS(TRR_Projections!$5:$5,TRR_Projections!$4:$4,"&gt;="&amp;TRR_Summary!B10,TRR_Projections!$4:$4,"&lt;="&amp;TRR_Summary!D10)</f>
        <v>175994</v>
      </c>
      <c r="G10" s="122">
        <f>SUMIFS(TRR_Projections!$7:$7,TRR_Projections!$4:$4,"&gt;="&amp;TRR_Summary!B10,TRR_Projections!$4:$4,"&lt;="&amp;TRR_Summary!D10)</f>
        <v>9612362.3900000006</v>
      </c>
      <c r="H10" s="82">
        <f>SUMIFS(TRR_Projections!$9:$9,TRR_Projections!$4:$4,"&gt;="&amp;TRR_Summary!B10,TRR_Projections!$4:$4,"&lt;="&amp;TRR_Summary!D10)</f>
        <v>1194592</v>
      </c>
      <c r="I10" s="139">
        <f>SUMIFS(TRR_Projections!$11:$11,TRR_Projections!$4:$4,"&gt;="&amp;TRR_Summary!B10,TRR_Projections!$4:$4,"&lt;="&amp;TRR_Summary!D10)</f>
        <v>1193529</v>
      </c>
      <c r="J10" s="4"/>
    </row>
    <row r="11" spans="1:10" x14ac:dyDescent="0.2">
      <c r="A11" s="94" t="s">
        <v>40</v>
      </c>
      <c r="B11" s="118">
        <f>EDATE(D10,1)</f>
        <v>45627</v>
      </c>
      <c r="C11" s="117" t="s">
        <v>38</v>
      </c>
      <c r="D11" s="126">
        <v>45870</v>
      </c>
      <c r="E11" s="107">
        <f>AVERAGEIFS(TRR_Projections!$5:$5,TRR_Projections!$4:$4,"&gt;="&amp;TRR_Summary!B11,TRR_Projections!$4:$4,"&lt;="&amp;TRR_Summary!D11)</f>
        <v>59756.812713460495</v>
      </c>
      <c r="F11" s="82">
        <f>SUMIFS(TRR_Projections!$5:$5,TRR_Projections!$4:$4,"&gt;="&amp;TRR_Summary!B11,TRR_Projections!$4:$4,"&lt;="&amp;TRR_Summary!D11)</f>
        <v>537811.31442114443</v>
      </c>
      <c r="G11" s="122">
        <f>SUMIFS(TRR_Projections!$7:$7,TRR_Projections!$4:$4,"&gt;="&amp;TRR_Summary!B11,TRR_Projections!$4:$4,"&lt;="&amp;TRR_Summary!D11)</f>
        <v>29373940.314205449</v>
      </c>
      <c r="H11" s="82">
        <f>SUMIFS(TRR_Projections!$9:$9,TRR_Projections!$4:$4,"&gt;="&amp;TRR_Summary!B11,TRR_Projections!$4:$4,"&lt;="&amp;TRR_Summary!D11)</f>
        <v>3650494.2993339757</v>
      </c>
      <c r="I11" s="139">
        <f>SUMIFS(TRR_Projections!$11:$11,TRR_Projections!$4:$4,"&gt;="&amp;TRR_Summary!B11,TRR_Projections!$4:$4,"&lt;="&amp;TRR_Summary!D11)</f>
        <v>3650494.2993339757</v>
      </c>
      <c r="J11" s="4"/>
    </row>
    <row r="12" spans="1:10" x14ac:dyDescent="0.2">
      <c r="A12" s="92" t="s">
        <v>41</v>
      </c>
      <c r="B12" s="119">
        <f>B10</f>
        <v>45536</v>
      </c>
      <c r="C12" s="101" t="s">
        <v>38</v>
      </c>
      <c r="D12" s="119">
        <f>D11</f>
        <v>45870</v>
      </c>
      <c r="E12" s="81">
        <f>AVERAGEIFS(TRR_Projections!$5:$5,TRR_Projections!$4:$4,"&gt;="&amp;TRR_Summary!B12,TRR_Projections!$4:$4,"&lt;="&amp;TRR_Summary!D12)</f>
        <v>59483.776201762033</v>
      </c>
      <c r="F12" s="81">
        <f>SUMIFS(TRR_Projections!$5:$5,TRR_Projections!$4:$4,"&gt;="&amp;TRR_Summary!B12,TRR_Projections!$4:$4,"&lt;="&amp;TRR_Summary!D12)</f>
        <v>713805.31442114443</v>
      </c>
      <c r="G12" s="121">
        <f>SUMIFS(TRR_Projections!$7:$7,TRR_Projections!$4:$4,"&gt;="&amp;TRR_Summary!B12,TRR_Projections!$4:$4,"&lt;="&amp;TRR_Summary!D12)</f>
        <v>38986302.704205446</v>
      </c>
      <c r="H12" s="81">
        <f>SUMIFS(TRR_Projections!$9:$9,TRR_Projections!$4:$4,"&gt;="&amp;TRR_Summary!B12,TRR_Projections!$4:$4,"&lt;="&amp;TRR_Summary!D12)</f>
        <v>4845086.2993339766</v>
      </c>
      <c r="I12" s="139">
        <f>SUMIFS(TRR_Projections!$11:$11,TRR_Projections!$4:$4,"&gt;="&amp;TRR_Summary!B12,TRR_Projections!$4:$4,"&lt;="&amp;TRR_Summary!D12)</f>
        <v>4844023.2993339766</v>
      </c>
      <c r="J12" s="4"/>
    </row>
    <row r="13" spans="1:10" ht="15.75" thickBot="1" x14ac:dyDescent="0.25">
      <c r="A13" s="91" t="s">
        <v>42</v>
      </c>
      <c r="B13" s="120">
        <f>EDATE(D12,1)</f>
        <v>45901</v>
      </c>
      <c r="C13" s="102" t="s">
        <v>38</v>
      </c>
      <c r="D13" s="120">
        <f>EDATE(B13,11)</f>
        <v>46235</v>
      </c>
      <c r="E13" s="83">
        <f>AVERAGEIFS(TRR_Projections!$5:$5,TRR_Projections!$4:$4,"&gt;="&amp;TRR_Summary!B13,TRR_Projections!$4:$4,"&lt;="&amp;TRR_Summary!D13)</f>
        <v>60827.379423635284</v>
      </c>
      <c r="F13" s="83">
        <f>SUMIFS(TRR_Projections!$5:$5,TRR_Projections!$4:$4,"&gt;="&amp;TRR_Summary!B13,TRR_Projections!$4:$4,"&lt;="&amp;TRR_Summary!D13)</f>
        <v>729928.55308362341</v>
      </c>
      <c r="G13" s="123">
        <f>SUMIFS(TRR_Projections!$7:$7,TRR_Projections!$4:$4,"&gt;="&amp;TRR_Summary!B13,TRR_Projections!$4:$4,"&lt;="&amp;TRR_Summary!D13)</f>
        <v>39866914.616680913</v>
      </c>
      <c r="H13" s="124">
        <f>SUMIFS(TRR_Projections!$9:$9,TRR_Projections!$4:$4,"&gt;="&amp;TRR_Summary!B13,TRR_Projections!$4:$4,"&lt;="&amp;TRR_Summary!D13)</f>
        <v>4954525.7797724446</v>
      </c>
      <c r="I13" s="140">
        <f>SUMIFS(TRR_Projections!$11:$11,TRR_Projections!$4:$4,"&gt;="&amp;TRR_Summary!B13,TRR_Projections!$4:$4,"&lt;="&amp;TRR_Summary!D13)</f>
        <v>4954525.7797724446</v>
      </c>
      <c r="J13" s="4"/>
    </row>
    <row r="14" spans="1:10" x14ac:dyDescent="0.2">
      <c r="J14" s="4"/>
    </row>
    <row r="15" spans="1:10" x14ac:dyDescent="0.2">
      <c r="A15" s="4"/>
      <c r="H15" s="42"/>
    </row>
    <row r="16" spans="1:10" x14ac:dyDescent="0.2">
      <c r="A16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1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1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1"/>
    </row>
    <row r="25" spans="1:9" x14ac:dyDescent="0.2">
      <c r="A25" s="4"/>
      <c r="B25" s="4"/>
      <c r="C25" s="4"/>
      <c r="D25" s="4"/>
      <c r="E25" s="4"/>
      <c r="F25" s="4"/>
      <c r="G25" s="4"/>
      <c r="H25" s="4"/>
    </row>
    <row r="26" spans="1:9" x14ac:dyDescent="0.2">
      <c r="A26" s="4"/>
    </row>
  </sheetData>
  <dataValidations count="1">
    <dataValidation allowBlank="1" showDropDown="1" showInputMessage="1" showErrorMessage="1" promptTitle="Rate of increase" sqref="B3" xr:uid="{00000000-0002-0000-0300-000002000000}"/>
  </dataValidations>
  <pageMargins left="0.7" right="0.7" top="0.75" bottom="0.75" header="0.3" footer="0.3"/>
  <pageSetup scale="76" orientation="landscape" r:id="rId1"/>
  <headerFooter>
    <oddHeader>&amp;L2025 TAP Reconcilable Rider Reports and Projection Model: &amp;A</oddHeader>
  </headerFooter>
  <ignoredErrors>
    <ignoredError sqref="B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BQ36"/>
  <sheetViews>
    <sheetView zoomScale="70" zoomScaleNormal="70" workbookViewId="0">
      <selection activeCell="AO7" sqref="AO7"/>
    </sheetView>
  </sheetViews>
  <sheetFormatPr defaultColWidth="8.7421875" defaultRowHeight="15" x14ac:dyDescent="0.2"/>
  <cols>
    <col min="1" max="1" width="36.05078125" customWidth="1"/>
    <col min="2" max="25" width="14.66015625" hidden="1" customWidth="1"/>
    <col min="26" max="26" width="16.0078125" hidden="1" customWidth="1"/>
    <col min="27" max="33" width="14.66015625" hidden="1" customWidth="1"/>
    <col min="34" max="34" width="16.6796875" hidden="1" customWidth="1"/>
    <col min="35" max="37" width="14.66015625" hidden="1" customWidth="1"/>
    <col min="38" max="45" width="14.66015625" customWidth="1"/>
    <col min="46" max="46" width="18.0234375" customWidth="1"/>
    <col min="47" max="57" width="14.66015625" customWidth="1"/>
    <col min="58" max="69" width="13.31640625" bestFit="1" customWidth="1"/>
  </cols>
  <sheetData>
    <row r="1" spans="1:69" s="127" customFormat="1" x14ac:dyDescent="0.2">
      <c r="B1" s="127" t="str">
        <f>IF(B4=TRR_Summary!$B9,"Reconciled Period",IF(B4=TRR_Summary!$B10,"Most Recent Period",IF(B4=TRR_Summary!$B13,"Next Rate Period","")))</f>
        <v/>
      </c>
      <c r="C1" s="127" t="str">
        <f>IF(C4=TRR_Summary!$B9,"Reconciled Period",IF(C4=TRR_Summary!$B10,"Most Recent Period",IF(C4=TRR_Summary!$B13,"Next Rate Period","")))</f>
        <v/>
      </c>
      <c r="D1" s="127" t="str">
        <f>IF(D4=TRR_Summary!$B9,"Reconciled Period",IF(D4=TRR_Summary!$B10,"Most Recent Period",IF(D4=TRR_Summary!$B13,"Next Rate Period","")))</f>
        <v/>
      </c>
      <c r="E1" s="127" t="str">
        <f>IF(E4=TRR_Summary!$B9,"Reconciled Period",IF(E4=TRR_Summary!$B10,"Most Recent Period",IF(E4=TRR_Summary!$B13,"Next Rate Period","")))</f>
        <v/>
      </c>
      <c r="F1" s="127" t="str">
        <f>IF(F4=TRR_Summary!$B9,"Reconciled Period",IF(F4=TRR_Summary!$B10,"Most Recent Period",IF(F4=TRR_Summary!$B13,"Next Rate Period","")))</f>
        <v/>
      </c>
      <c r="G1" s="127" t="str">
        <f>IF(G4=TRR_Summary!$B9,"Reconciled Period",IF(G4=TRR_Summary!$B10,"Most Recent Period",IF(G4=TRR_Summary!$B13,"Next Rate Period","")))</f>
        <v/>
      </c>
      <c r="H1" s="127" t="str">
        <f>IF(H4=TRR_Summary!$B9,"Reconciled Period",IF(H4=TRR_Summary!$B10,"Most Recent Period",IF(H4=TRR_Summary!$B13,"Next Rate Period","")))</f>
        <v/>
      </c>
      <c r="I1" s="127" t="str">
        <f>IF(I4=TRR_Summary!$B9,"Reconciled Period",IF(I4=TRR_Summary!$B10,"Most Recent Period",IF(I4=TRR_Summary!$B13,"Next Rate Period","")))</f>
        <v/>
      </c>
      <c r="J1" s="127" t="str">
        <f>IF(J4=TRR_Summary!$B9,"Reconciled Period",IF(J4=TRR_Summary!$B10,"Most Recent Period",IF(J4=TRR_Summary!$B13,"Next Rate Period","")))</f>
        <v/>
      </c>
      <c r="K1" s="127" t="str">
        <f>IF(K4=TRR_Summary!$B9,"Reconciled Period",IF(K4=TRR_Summary!$B10,"Most Recent Period",IF(K4=TRR_Summary!$B13,"Next Rate Period","")))</f>
        <v/>
      </c>
      <c r="L1" s="127" t="str">
        <f>IF(L4=TRR_Summary!$B9,"Reconciled Period",IF(L4=TRR_Summary!$B10,"Most Recent Period",IF(L4=TRR_Summary!$B13,"Next Rate Period","")))</f>
        <v/>
      </c>
      <c r="M1" s="127" t="str">
        <f>IF(M4=TRR_Summary!$B9,"Reconciled Period",IF(M4=TRR_Summary!$B10,"Most Recent Period",IF(M4=TRR_Summary!$B13,"Next Rate Period","")))</f>
        <v/>
      </c>
      <c r="N1" s="127" t="str">
        <f>IF(N4=TRR_Summary!$B9,"Reconciled Period",IF(N4=TRR_Summary!$B10,"Most Recent Period",IF(N4=TRR_Summary!$B13,"Next Rate Period","")))</f>
        <v/>
      </c>
      <c r="O1" s="127" t="str">
        <f>IF(O4=TRR_Summary!$B9,"Reconciled Period",IF(O4=TRR_Summary!$B10,"Most Recent Period",IF(O4=TRR_Summary!$B13,"Next Rate Period","")))</f>
        <v/>
      </c>
      <c r="P1" s="127" t="str">
        <f>IF(P4=TRR_Summary!$B9,"Reconciled Period",IF(P4=TRR_Summary!$B10,"Most Recent Period",IF(P4=TRR_Summary!$B13,"Next Rate Period","")))</f>
        <v/>
      </c>
      <c r="Q1" s="127" t="str">
        <f>IF(Q4=TRR_Summary!$B9,"Reconciled Period",IF(Q4=TRR_Summary!$B10,"Most Recent Period",IF(Q4=TRR_Summary!$B13,"Next Rate Period","")))</f>
        <v/>
      </c>
      <c r="R1" s="127" t="str">
        <f>IF(R4=TRR_Summary!$B9,"Reconciled Period",IF(R4=TRR_Summary!$B10,"Most Recent Period",IF(R4=TRR_Summary!$B13,"Next Rate Period","")))</f>
        <v/>
      </c>
      <c r="S1" s="127" t="str">
        <f>IF(S4=TRR_Summary!$B9,"Reconciled Period",IF(S4=TRR_Summary!$B10,"Most Recent Period",IF(S4=TRR_Summary!$B13,"Next Rate Period","")))</f>
        <v/>
      </c>
      <c r="T1" s="127" t="str">
        <f>IF(T4=TRR_Summary!$B9,"Reconciled Period",IF(T4=TRR_Summary!$B10,"Most Recent Period",IF(T4=TRR_Summary!$B13,"Next Rate Period","")))</f>
        <v/>
      </c>
      <c r="U1" s="127" t="str">
        <f>IF(U4=TRR_Summary!$B9,"Reconciled Period",IF(U4=TRR_Summary!$B10,"Most Recent Period",IF(U4=TRR_Summary!$B13,"Next Rate Period","")))</f>
        <v/>
      </c>
      <c r="V1" s="127" t="str">
        <f>IF(V4=TRR_Summary!$B9,"Reconciled Period",IF(V4=TRR_Summary!$B10,"Most Recent Period",IF(V4=TRR_Summary!$B13,"Next Rate Period","")))</f>
        <v/>
      </c>
      <c r="W1" s="127" t="str">
        <f>IF(W4=TRR_Summary!$B9,"Reconciled Period",IF(W4=TRR_Summary!$B10,"Most Recent Period",IF(W4=TRR_Summary!$B13,"Next Rate Period","")))</f>
        <v/>
      </c>
      <c r="X1" s="127" t="str">
        <f>IF(X4=TRR_Summary!$B9,"Reconciled Period",IF(X4=TRR_Summary!$B10,"Most Recent Period",IF(X4=TRR_Summary!$B13,"Next Rate Period","")))</f>
        <v/>
      </c>
      <c r="Y1" s="127" t="str">
        <f>IF(Y4=TRR_Summary!$B9,"Reconciled Period",IF(Y4=TRR_Summary!$B10,"Most Recent Period",IF(Y4=TRR_Summary!$B13,"Next Rate Period","")))</f>
        <v/>
      </c>
      <c r="Z1" s="127" t="str">
        <f>IF(Z4=TRR_Summary!$B9,"Reconciled Period",IF(Z4=TRR_Summary!$B10,"Most Recent Period",IF(Z4=TRR_Summary!$B13,"Next Rate Period","")))</f>
        <v/>
      </c>
      <c r="AA1" s="127" t="str">
        <f>IF(AA4=TRR_Summary!$B9,"Reconciled Period",IF(AA4=TRR_Summary!$B10,"Most Recent Period",IF(AA4=TRR_Summary!$B13,"Next Rate Period","")))</f>
        <v/>
      </c>
      <c r="AB1" s="127" t="str">
        <f>IF(AB4=TRR_Summary!$B9,"Reconciled Period",IF(AB4=TRR_Summary!$B10,"Most Recent Period",IF(AB4=TRR_Summary!$B13,"Next Rate Period","")))</f>
        <v/>
      </c>
      <c r="AC1" s="127" t="str">
        <f>IF(AC4=TRR_Summary!$B9,"Reconciled Period",IF(AC4=TRR_Summary!$B10,"Most Recent Period",IF(AC4=TRR_Summary!$B13,"Next Rate Period","")))</f>
        <v/>
      </c>
      <c r="AD1" s="127" t="str">
        <f>IF(AD4=TRR_Summary!$B9,"Reconciled Period",IF(AD4=TRR_Summary!$B10,"Most Recent Period",IF(AD4=TRR_Summary!$B13,"Next Rate Period","")))</f>
        <v/>
      </c>
      <c r="AE1" s="127" t="str">
        <f>IF(AE4=TRR_Summary!$B9,"Reconciled Period",IF(AE4=TRR_Summary!$B10,"Most Recent Period",IF(AE4=TRR_Summary!$B13,"Next Rate Period","")))</f>
        <v/>
      </c>
      <c r="AF1" s="127" t="str">
        <f>IF(AF4=TRR_Summary!$B9,"Reconciled Period",IF(AF4=TRR_Summary!$B10,"Most Recent Period",IF(AF4=TRR_Summary!$B13,"Next Rate Period","")))</f>
        <v/>
      </c>
      <c r="AG1" s="127" t="str">
        <f>IF(AG4=TRR_Summary!$B9,"Reconciled Period",IF(AG4=TRR_Summary!$B10,"Most Recent Period",IF(AG4=TRR_Summary!$B13,"Next Rate Period","")))</f>
        <v/>
      </c>
      <c r="AH1" s="127" t="str">
        <f>IF(AH4=TRR_Summary!$B9,"Reconciled Period",IF(AH4=TRR_Summary!$B10,"Most Recent Period",IF(AH4=TRR_Summary!$B13,"Next Rate Period","")))</f>
        <v/>
      </c>
      <c r="AI1" s="127" t="str">
        <f>IF(AI4=TRR_Summary!$B9,"Reconciled Period",IF(AI4=TRR_Summary!$B10,"Most Recent Period",IF(AI4=TRR_Summary!$B13,"Next Rate Period","")))</f>
        <v/>
      </c>
      <c r="AJ1" s="127" t="str">
        <f>IF(AJ4=TRR_Summary!$B9,"Reconciled Period",IF(AJ4=TRR_Summary!$B10,"Most Recent Period",IF(AJ4=TRR_Summary!$B13,"Next Rate Period","")))</f>
        <v/>
      </c>
      <c r="AK1" s="127" t="str">
        <f>IF(AK4=TRR_Summary!$B9,"Reconciled Period",IF(AK4=TRR_Summary!$B10,"Most Recent Period",IF(AK4=TRR_Summary!$B13,"Next Rate Period","")))</f>
        <v/>
      </c>
      <c r="AL1" s="156" t="str">
        <f>IF(AL4=TRR_Summary!$B9,"Reconciled Period",IF(AL4=TRR_Summary!$B10,"Most Recent Period",IF(AL4=TRR_Summary!$B13,"Next Rate Period","")))</f>
        <v/>
      </c>
      <c r="AM1" s="156" t="str">
        <f>IF(AM4=TRR_Summary!$B9,"Reconciled Period",IF(AM4=TRR_Summary!$B10,"Most Recent Period",IF(AM4=TRR_Summary!$B13,"Next Rate Period","")))</f>
        <v/>
      </c>
      <c r="AN1" s="156" t="str">
        <f>IF(AN4=TRR_Summary!$B9,"Reconciled Period",IF(AN4=TRR_Summary!$B10,"Most Recent Period",IF(AN4=TRR_Summary!$B13,"Next Rate Period","")))</f>
        <v/>
      </c>
      <c r="AO1" s="156" t="str">
        <f>IF(AO4=TRR_Summary!$B9,"Reconciled Period",IF(AO4=TRR_Summary!$B10,"Most Recent Period",IF(AO4=TRR_Summary!$B13,"Next Rate Period","")))</f>
        <v>Reconciled Period</v>
      </c>
      <c r="AP1" s="156" t="str">
        <f>IF(AP4=TRR_Summary!$B9,"Reconciled Period",IF(AP4=TRR_Summary!$B10,"Most Recent Period",IF(AP4=TRR_Summary!$B13,"Next Rate Period","")))</f>
        <v/>
      </c>
      <c r="AQ1" s="156" t="str">
        <f>IF(AQ4=TRR_Summary!$B9,"Reconciled Period",IF(AQ4=TRR_Summary!$B10,"Most Recent Period",IF(AQ4=TRR_Summary!$B13,"Next Rate Period","")))</f>
        <v/>
      </c>
      <c r="AR1" s="156" t="str">
        <f>IF(AR4=TRR_Summary!$B9,"Reconciled Period",IF(AR4=TRR_Summary!$B10,"Most Recent Period",IF(AR4=TRR_Summary!$B13,"Next Rate Period","")))</f>
        <v/>
      </c>
      <c r="AS1" s="156" t="str">
        <f>IF(AS4=TRR_Summary!$B9,"Reconciled Period",IF(AS4=TRR_Summary!$B10,"Most Recent Period",IF(AS4=TRR_Summary!$B13,"Next Rate Period","")))</f>
        <v/>
      </c>
      <c r="AT1" s="128" t="str">
        <f>IF(AT4=TRR_Summary!$B9,"Reconciled Period",IF(AT4=TRR_Summary!$B10,"Most Recent Period",IF(AT4=TRR_Summary!$B13,"Next Rate Period","")))</f>
        <v>Most Recent Period</v>
      </c>
      <c r="AU1" s="128" t="str">
        <f>IF(AU4=TRR_Summary!$B9,"Reconciled Period",IF(AU4=TRR_Summary!$B10,"Most Recent Period",IF(AU4=TRR_Summary!$B13,"Next Rate Period","")))</f>
        <v/>
      </c>
      <c r="AV1" s="128" t="str">
        <f>IF(AV4=TRR_Summary!$B9,"Reconciled Period",IF(AV4=TRR_Summary!$B10,"Most Recent Period",IF(AV4=TRR_Summary!$B13,"Next Rate Period","")))</f>
        <v/>
      </c>
      <c r="AW1" s="128" t="str">
        <f>IF(AW4=TRR_Summary!$B9,"Reconciled Period",IF(AW4=TRR_Summary!$B10,"Most Recent Period",IF(AW4=TRR_Summary!$B13,"Next Rate Period","")))</f>
        <v/>
      </c>
      <c r="AX1" s="128" t="str">
        <f>IF(AX4=TRR_Summary!$B9,"Reconciled Period",IF(AX4=TRR_Summary!$B10,"Most Recent Period",IF(AX4=TRR_Summary!$B13,"Next Rate Period","")))</f>
        <v/>
      </c>
      <c r="AY1" s="128" t="str">
        <f>IF(AY4=TRR_Summary!$B9,"Reconciled Period",IF(AY4=TRR_Summary!$B10,"Most Recent Period",IF(AY4=TRR_Summary!$B13,"Next Rate Period","")))</f>
        <v/>
      </c>
      <c r="AZ1" s="128" t="str">
        <f>IF(AZ4=TRR_Summary!$B9,"Reconciled Period",IF(AZ4=TRR_Summary!$B10,"Most Recent Period",IF(AZ4=TRR_Summary!$B13,"Next Rate Period","")))</f>
        <v/>
      </c>
      <c r="BA1" s="128" t="str">
        <f>IF(BA4=TRR_Summary!$B9,"Reconciled Period",IF(BA4=TRR_Summary!$B10,"Most Recent Period",IF(BA4=TRR_Summary!$B13,"Next Rate Period","")))</f>
        <v/>
      </c>
      <c r="BB1" s="128" t="str">
        <f>IF(BB4=TRR_Summary!$B9,"Reconciled Period",IF(BB4=TRR_Summary!$B10,"Most Recent Period",IF(BB4=TRR_Summary!$B13,"Next Rate Period","")))</f>
        <v/>
      </c>
      <c r="BC1" s="128" t="str">
        <f>IF(BC4=TRR_Summary!$B9,"Reconciled Period",IF(BC4=TRR_Summary!$B10,"Most Recent Period",IF(BC4=TRR_Summary!$B13,"Next Rate Period","")))</f>
        <v/>
      </c>
      <c r="BD1" s="128" t="str">
        <f>IF(BD4=TRR_Summary!$B9,"Reconciled Period",IF(BD4=TRR_Summary!$B10,"Most Recent Period",IF(BD4=TRR_Summary!$B13,"Next Rate Period","")))</f>
        <v/>
      </c>
      <c r="BE1" s="128" t="str">
        <f>IF(BE4=TRR_Summary!$B9,"Reconciled Period",IF(BE4=TRR_Summary!$B10,"Most Recent Period",IF(BE4=TRR_Summary!$B13,"Next Rate Period","")))</f>
        <v/>
      </c>
      <c r="BF1" s="129" t="str">
        <f>IF(BF4=TRR_Summary!$B9,"Reconciled Period",IF(BF4=TRR_Summary!$B10,"Most Recent Period",IF(BF4=TRR_Summary!$B13,"Next Rate Period","")))</f>
        <v>Next Rate Period</v>
      </c>
      <c r="BG1" s="129" t="str">
        <f>IF(BG4=TRR_Summary!$B9,"Reconciled Period",IF(BG4=TRR_Summary!$B10,"Most Recent Period",IF(BG4=TRR_Summary!$B13,"Next Rate Period","")))</f>
        <v/>
      </c>
      <c r="BH1" s="129" t="str">
        <f>IF(BH4=TRR_Summary!$B9,"Reconciled Period",IF(BH4=TRR_Summary!$B10,"Most Recent Period",IF(BH4=TRR_Summary!$B13,"Next Rate Period","")))</f>
        <v/>
      </c>
      <c r="BI1" s="129" t="str">
        <f>IF(BI4=TRR_Summary!$B9,"Reconciled Period",IF(BI4=TRR_Summary!$B10,"Most Recent Period",IF(BI4=TRR_Summary!$B13,"Next Rate Period","")))</f>
        <v/>
      </c>
      <c r="BJ1" s="129" t="str">
        <f>IF(BJ4=TRR_Summary!$B9,"Reconciled Period",IF(BJ4=TRR_Summary!$B10,"Most Recent Period",IF(BJ4=TRR_Summary!$B13,"Next Rate Period","")))</f>
        <v/>
      </c>
      <c r="BK1" s="129" t="str">
        <f>IF(BK4=TRR_Summary!$B9,"Reconciled Period",IF(BK4=TRR_Summary!$B10,"Most Recent Period",IF(BK4=TRR_Summary!$B13,"Next Rate Period","")))</f>
        <v/>
      </c>
      <c r="BL1" s="129" t="str">
        <f>IF(BL4=TRR_Summary!$B9,"Reconciled Period",IF(BL4=TRR_Summary!$B10,"Most Recent Period",IF(BL4=TRR_Summary!$B13,"Next Rate Period","")))</f>
        <v/>
      </c>
      <c r="BM1" s="129" t="str">
        <f>IF(BM4=TRR_Summary!$B9,"Reconciled Period",IF(BM4=TRR_Summary!$B10,"Most Recent Period",IF(BM4=TRR_Summary!$B13,"Next Rate Period","")))</f>
        <v/>
      </c>
      <c r="BN1" s="129" t="str">
        <f>IF(BN4=TRR_Summary!$B9,"Reconciled Period",IF(BN4=TRR_Summary!$B10,"Most Recent Period",IF(BN4=TRR_Summary!$B13,"Next Rate Period","")))</f>
        <v/>
      </c>
      <c r="BO1" s="129" t="str">
        <f>IF(BO4=TRR_Summary!$B9,"Reconciled Period",IF(BO4=TRR_Summary!$B10,"Most Recent Period",IF(BO4=TRR_Summary!$B13,"Next Rate Period","")))</f>
        <v/>
      </c>
      <c r="BP1" s="129" t="str">
        <f>IF(BP4=TRR_Summary!$B9,"Reconciled Period",IF(BP4=TRR_Summary!$B10,"Most Recent Period",IF(BP4=TRR_Summary!$B13,"Next Rate Period","")))</f>
        <v/>
      </c>
      <c r="BQ1" s="129" t="str">
        <f>IF(BQ4=TRR_Summary!$B9,"Reconciled Period",IF(BQ4=TRR_Summary!$B10,"Most Recent Period",IF(BQ4=TRR_Summary!$B13,"Next Rate Period","")))</f>
        <v/>
      </c>
    </row>
    <row r="2" spans="1:69" x14ac:dyDescent="0.2">
      <c r="A2" s="108" t="s">
        <v>43</v>
      </c>
      <c r="B2" s="109" t="s">
        <v>44</v>
      </c>
      <c r="C2" s="109" t="s">
        <v>44</v>
      </c>
      <c r="D2" s="109" t="s">
        <v>44</v>
      </c>
      <c r="E2" s="109" t="s">
        <v>44</v>
      </c>
      <c r="F2" s="109" t="s">
        <v>44</v>
      </c>
      <c r="G2" s="109" t="s">
        <v>44</v>
      </c>
      <c r="H2" s="109" t="s">
        <v>44</v>
      </c>
      <c r="I2" s="109" t="s">
        <v>44</v>
      </c>
      <c r="J2" s="109" t="s">
        <v>44</v>
      </c>
      <c r="K2" s="109" t="s">
        <v>44</v>
      </c>
      <c r="L2" s="109" t="s">
        <v>44</v>
      </c>
      <c r="M2" s="109" t="s">
        <v>44</v>
      </c>
      <c r="N2" s="109" t="s">
        <v>44</v>
      </c>
      <c r="O2" s="109" t="s">
        <v>44</v>
      </c>
      <c r="P2" s="109" t="s">
        <v>44</v>
      </c>
      <c r="Q2" s="109" t="s">
        <v>44</v>
      </c>
      <c r="R2" s="109" t="s">
        <v>44</v>
      </c>
      <c r="S2" s="109" t="s">
        <v>44</v>
      </c>
      <c r="T2" s="109" t="s">
        <v>44</v>
      </c>
      <c r="U2" s="109" t="s">
        <v>44</v>
      </c>
      <c r="V2" s="109" t="s">
        <v>44</v>
      </c>
      <c r="W2" s="109" t="s">
        <v>44</v>
      </c>
      <c r="X2" s="109" t="s">
        <v>44</v>
      </c>
      <c r="Y2" s="109" t="s">
        <v>44</v>
      </c>
      <c r="Z2" s="109" t="s">
        <v>44</v>
      </c>
      <c r="AA2" s="109" t="s">
        <v>44</v>
      </c>
      <c r="AB2" s="109" t="s">
        <v>44</v>
      </c>
      <c r="AC2" s="109" t="s">
        <v>44</v>
      </c>
      <c r="AD2" s="109" t="s">
        <v>44</v>
      </c>
      <c r="AE2" s="109" t="s">
        <v>44</v>
      </c>
      <c r="AF2" s="109" t="s">
        <v>44</v>
      </c>
      <c r="AG2" s="109" t="s">
        <v>44</v>
      </c>
      <c r="AH2" s="109" t="s">
        <v>44</v>
      </c>
      <c r="AI2" s="109" t="s">
        <v>44</v>
      </c>
      <c r="AJ2" s="109" t="s">
        <v>44</v>
      </c>
      <c r="AK2" s="109" t="s">
        <v>44</v>
      </c>
      <c r="AL2" s="109" t="s">
        <v>44</v>
      </c>
      <c r="AM2" s="109" t="s">
        <v>44</v>
      </c>
      <c r="AN2" s="109" t="s">
        <v>44</v>
      </c>
      <c r="AO2" s="109" t="s">
        <v>44</v>
      </c>
      <c r="AP2" s="109" t="s">
        <v>44</v>
      </c>
      <c r="AQ2" s="109" t="s">
        <v>44</v>
      </c>
      <c r="AR2" s="109" t="s">
        <v>44</v>
      </c>
      <c r="AS2" s="109" t="s">
        <v>44</v>
      </c>
      <c r="AT2" s="109" t="s">
        <v>44</v>
      </c>
      <c r="AU2" s="109" t="s">
        <v>44</v>
      </c>
      <c r="AV2" s="109" t="s">
        <v>44</v>
      </c>
      <c r="AW2" s="109" t="s">
        <v>45</v>
      </c>
      <c r="AX2" s="109" t="s">
        <v>45</v>
      </c>
      <c r="AY2" s="109" t="s">
        <v>45</v>
      </c>
      <c r="AZ2" s="109" t="s">
        <v>45</v>
      </c>
      <c r="BA2" s="109" t="s">
        <v>45</v>
      </c>
      <c r="BB2" s="109" t="s">
        <v>45</v>
      </c>
      <c r="BC2" s="109" t="s">
        <v>45</v>
      </c>
      <c r="BD2" s="109" t="s">
        <v>45</v>
      </c>
      <c r="BE2" s="109" t="s">
        <v>45</v>
      </c>
      <c r="BF2" t="s">
        <v>45</v>
      </c>
      <c r="BG2" t="s">
        <v>45</v>
      </c>
      <c r="BH2" t="s">
        <v>45</v>
      </c>
      <c r="BI2" t="s">
        <v>45</v>
      </c>
      <c r="BJ2" t="s">
        <v>45</v>
      </c>
      <c r="BK2" t="s">
        <v>45</v>
      </c>
      <c r="BL2" t="s">
        <v>45</v>
      </c>
      <c r="BM2" t="s">
        <v>45</v>
      </c>
      <c r="BN2" t="s">
        <v>45</v>
      </c>
      <c r="BO2" t="s">
        <v>45</v>
      </c>
      <c r="BP2" t="s">
        <v>45</v>
      </c>
      <c r="BQ2" t="s">
        <v>45</v>
      </c>
    </row>
    <row r="3" spans="1:69" x14ac:dyDescent="0.2">
      <c r="A3" s="110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05"/>
      <c r="P3" s="3"/>
      <c r="Q3" s="3"/>
      <c r="R3" s="3"/>
      <c r="S3" s="3"/>
      <c r="T3" s="103"/>
      <c r="U3" s="106"/>
      <c r="V3" s="105"/>
      <c r="W3" s="3"/>
      <c r="X3" s="3"/>
      <c r="Y3" s="3"/>
      <c r="Z3" s="3"/>
      <c r="AA3" s="3"/>
      <c r="AB3" s="3"/>
      <c r="AC3" s="3"/>
      <c r="AD3" s="3"/>
      <c r="AE3" s="3"/>
      <c r="AF3" s="3"/>
      <c r="AG3" s="106"/>
      <c r="AH3" s="106"/>
      <c r="AI3" s="106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>
        <v>0.05</v>
      </c>
      <c r="AX3" s="3">
        <v>0.01</v>
      </c>
      <c r="AY3" s="3">
        <v>-0.05</v>
      </c>
      <c r="AZ3" s="3">
        <v>0.05</v>
      </c>
      <c r="BA3" s="3">
        <v>0.01</v>
      </c>
      <c r="BB3" s="3">
        <v>0.01</v>
      </c>
      <c r="BC3" s="3">
        <v>-0.04</v>
      </c>
      <c r="BD3" s="3">
        <v>0.04</v>
      </c>
      <c r="BE3" s="3">
        <v>0.01</v>
      </c>
      <c r="BF3" s="3">
        <v>-0.01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</row>
    <row r="4" spans="1:69" s="95" customFormat="1" x14ac:dyDescent="0.2">
      <c r="A4" s="111" t="s">
        <v>47</v>
      </c>
      <c r="B4" s="133">
        <v>44197</v>
      </c>
      <c r="C4" s="133">
        <v>44228</v>
      </c>
      <c r="D4" s="133">
        <v>44256</v>
      </c>
      <c r="E4" s="133">
        <v>44287</v>
      </c>
      <c r="F4" s="133">
        <v>44317</v>
      </c>
      <c r="G4" s="133">
        <v>44348</v>
      </c>
      <c r="H4" s="133">
        <v>44378</v>
      </c>
      <c r="I4" s="133">
        <v>44409</v>
      </c>
      <c r="J4" s="133">
        <v>44440</v>
      </c>
      <c r="K4" s="133">
        <v>44470</v>
      </c>
      <c r="L4" s="133">
        <v>44501</v>
      </c>
      <c r="M4" s="133">
        <v>44531</v>
      </c>
      <c r="N4" s="133">
        <v>44562</v>
      </c>
      <c r="O4" s="133">
        <v>44593</v>
      </c>
      <c r="P4" s="133">
        <v>44621</v>
      </c>
      <c r="Q4" s="133">
        <v>44652</v>
      </c>
      <c r="R4" s="133">
        <v>44682</v>
      </c>
      <c r="S4" s="133">
        <v>44713</v>
      </c>
      <c r="T4" s="133">
        <v>44743</v>
      </c>
      <c r="U4" s="133">
        <v>44774</v>
      </c>
      <c r="V4" s="133">
        <v>44805</v>
      </c>
      <c r="W4" s="133">
        <v>44835</v>
      </c>
      <c r="X4" s="133">
        <v>44866</v>
      </c>
      <c r="Y4" s="133">
        <v>44896</v>
      </c>
      <c r="Z4" s="133">
        <v>44927</v>
      </c>
      <c r="AA4" s="133">
        <v>44958</v>
      </c>
      <c r="AB4" s="133">
        <v>44986</v>
      </c>
      <c r="AC4" s="133">
        <v>45017</v>
      </c>
      <c r="AD4" s="133">
        <v>45047</v>
      </c>
      <c r="AE4" s="133">
        <v>45078</v>
      </c>
      <c r="AF4" s="133">
        <v>45108</v>
      </c>
      <c r="AG4" s="133">
        <v>45139</v>
      </c>
      <c r="AH4" s="133">
        <v>45170</v>
      </c>
      <c r="AI4" s="133">
        <v>45200</v>
      </c>
      <c r="AJ4" s="133">
        <v>45231</v>
      </c>
      <c r="AK4" s="130">
        <v>45261</v>
      </c>
      <c r="AL4" s="130">
        <v>45292</v>
      </c>
      <c r="AM4" s="130">
        <v>45323</v>
      </c>
      <c r="AN4" s="130">
        <v>45352</v>
      </c>
      <c r="AO4" s="130">
        <v>45383</v>
      </c>
      <c r="AP4" s="130">
        <v>45413</v>
      </c>
      <c r="AQ4" s="130">
        <v>45444</v>
      </c>
      <c r="AR4" s="130">
        <v>45474</v>
      </c>
      <c r="AS4" s="130">
        <v>45505</v>
      </c>
      <c r="AT4" s="130">
        <v>45536</v>
      </c>
      <c r="AU4" s="130">
        <v>45566</v>
      </c>
      <c r="AV4" s="130">
        <v>45597</v>
      </c>
      <c r="AW4" s="130">
        <v>45627</v>
      </c>
      <c r="AX4" s="130">
        <v>45658</v>
      </c>
      <c r="AY4" s="130">
        <v>45689</v>
      </c>
      <c r="AZ4" s="130">
        <v>45717</v>
      </c>
      <c r="BA4" s="130">
        <v>45748</v>
      </c>
      <c r="BB4" s="130">
        <v>45778</v>
      </c>
      <c r="BC4" s="130">
        <v>45809</v>
      </c>
      <c r="BD4" s="130">
        <v>45839</v>
      </c>
      <c r="BE4" s="130">
        <v>45870</v>
      </c>
      <c r="BF4" s="130">
        <v>45901</v>
      </c>
      <c r="BG4" s="130">
        <v>45931</v>
      </c>
      <c r="BH4" s="130">
        <v>45962</v>
      </c>
      <c r="BI4" s="130">
        <v>45992</v>
      </c>
      <c r="BJ4" s="130">
        <v>46023</v>
      </c>
      <c r="BK4" s="130">
        <v>46054</v>
      </c>
      <c r="BL4" s="130">
        <v>46082</v>
      </c>
      <c r="BM4" s="130">
        <v>46113</v>
      </c>
      <c r="BN4" s="130">
        <v>46143</v>
      </c>
      <c r="BO4" s="130">
        <v>46174</v>
      </c>
      <c r="BP4" s="130">
        <v>46204</v>
      </c>
      <c r="BQ4" s="130">
        <v>46235</v>
      </c>
    </row>
    <row r="5" spans="1:69" x14ac:dyDescent="0.2">
      <c r="A5" s="112" t="s">
        <v>48</v>
      </c>
      <c r="B5" s="89">
        <f>HLOOKUP(_xlfn.CONCAT(TEXT(B4,"MMMM YYYYY"), " Participants"),'DR_3A Participants'!$B$4:$AV$9,6,FALSE)</f>
        <v>15413</v>
      </c>
      <c r="C5" s="89">
        <f>HLOOKUP(_xlfn.CONCAT(TEXT(C4,"MMMM YYYYY"), " Participants"),'DR_3A Participants'!$B$4:$AV$9,6,FALSE)</f>
        <v>15763</v>
      </c>
      <c r="D5" s="89">
        <f>HLOOKUP(_xlfn.CONCAT(TEXT(D4,"MMMM YYYYY"), " Participants"),'DR_3A Participants'!$B$4:$AV$9,6,FALSE)</f>
        <v>16618</v>
      </c>
      <c r="E5" s="89">
        <f>HLOOKUP(_xlfn.CONCAT(TEXT(E4,"MMMM YYYYY"), " Participants"),'DR_3A Participants'!$B$4:$AV$9,6,FALSE)</f>
        <v>16682</v>
      </c>
      <c r="F5" s="89">
        <f>HLOOKUP(_xlfn.CONCAT(TEXT(F4,"MMMM YYYYY"), " Participants"),'DR_3A Participants'!$B$4:$AV$9,6,FALSE)</f>
        <v>16704</v>
      </c>
      <c r="G5" s="89">
        <f>HLOOKUP(_xlfn.CONCAT(TEXT(G4,"MMMM YYYYY"), " Participants"),'DR_3A Participants'!$B$4:$AV$9,6,FALSE)</f>
        <v>16662</v>
      </c>
      <c r="H5" s="89">
        <f>HLOOKUP(_xlfn.CONCAT(TEXT(H4,"MMMM YYYYY"), " Participants"),'DR_3A Participants'!$B$4:$AV$9,6,FALSE)</f>
        <v>16696</v>
      </c>
      <c r="I5" s="89">
        <f>HLOOKUP(_xlfn.CONCAT(TEXT(I4,"MMMM YYYYY"), " Participants"),'DR_3A Participants'!$B$4:$AV$9,6,FALSE)</f>
        <v>16631</v>
      </c>
      <c r="J5" s="89">
        <f>HLOOKUP(_xlfn.CONCAT(TEXT(J4,"MMMM YYYYY"), " Participants"),'DR_3A Participants'!$B$4:$AV$9,6,FALSE)</f>
        <v>15782</v>
      </c>
      <c r="K5" s="89">
        <f>HLOOKUP(_xlfn.CONCAT(TEXT(K4,"MMMM YYYYY"), " Participants"),'DR_3A Participants'!$B$4:$AV$9,6,FALSE)</f>
        <v>16916</v>
      </c>
      <c r="L5" s="89">
        <f>HLOOKUP(_xlfn.CONCAT(TEXT(L4,"MMMM YYYYY"), " Participants"),'DR_3A Participants'!$B$4:$AV$9,6,FALSE)</f>
        <v>16948</v>
      </c>
      <c r="M5" s="89">
        <f>HLOOKUP(_xlfn.CONCAT(TEXT(M4,"MMMM YYYYY"), " Participants"),'DR_3A Participants'!$B$4:$AV$9,6,FALSE)</f>
        <v>17052</v>
      </c>
      <c r="N5" s="89">
        <f>HLOOKUP(_xlfn.CONCAT(TEXT(N4,"MMMM YYYYY"), " Participants"),'DR_3A Participants'!$B$4:$AV$9,6,FALSE)</f>
        <v>15155</v>
      </c>
      <c r="O5" s="89">
        <f>HLOOKUP(_xlfn.CONCAT(TEXT(O4,"MMMM YYYYY"), " Participants"),'DR_3A Participants'!$B$4:$AV$9,6,FALSE)</f>
        <v>13258</v>
      </c>
      <c r="P5" s="89">
        <f>HLOOKUP(_xlfn.CONCAT(TEXT(P4,"MMMM YYYYY"), " Participants"),'DR_3A Participants'!$B$4:$AV$9,6,FALSE)</f>
        <v>12775</v>
      </c>
      <c r="Q5" s="89">
        <f>HLOOKUP(_xlfn.CONCAT(TEXT(Q4,"MMMM YYYYY"), " Participants"),'DR_3A Participants'!$B$4:$AV$9,6,FALSE)</f>
        <v>10890</v>
      </c>
      <c r="R5" s="89">
        <f>HLOOKUP(_xlfn.CONCAT(TEXT(R4,"MMMM YYYYY"), " Participants"),'DR_3A Participants'!$B$4:$AV$9,6,FALSE)</f>
        <v>10073</v>
      </c>
      <c r="S5" s="89">
        <f>HLOOKUP(_xlfn.CONCAT(TEXT(S4,"MMMM YYYYY"), " Participants"),'DR_3A Participants'!$B$4:$AV$9,6,FALSE)</f>
        <v>10008</v>
      </c>
      <c r="T5" s="89">
        <f>HLOOKUP(_xlfn.CONCAT(TEXT(T4,"MMMM YYYYY"), " Participants"),'DR_3A Participants'!$B$4:$AV$9,6,FALSE)</f>
        <v>10876</v>
      </c>
      <c r="U5" s="89">
        <f>HLOOKUP(_xlfn.CONCAT(TEXT(U4,"MMMM YYYYY"), " Participants"),'DR_3A Participants'!$B$4:$AV$9,6,FALSE)</f>
        <v>11986</v>
      </c>
      <c r="V5" s="89">
        <f>HLOOKUP(_xlfn.CONCAT(TEXT(V4,"MMMM YYYYY"), " Participants"),'DR_3A Participants'!$B$4:$AV$9,6,FALSE)</f>
        <v>13048</v>
      </c>
      <c r="W5" s="89">
        <f>HLOOKUP(_xlfn.CONCAT(TEXT(W4,"MMMM YYYYY"), " Participants"),'DR_3A Participants'!$B$4:$AV$9,6,FALSE)</f>
        <v>13672</v>
      </c>
      <c r="X5" s="89">
        <f>HLOOKUP(_xlfn.CONCAT(TEXT(X4,"MMMM YYYYY"), " Participants"),'DR_3A Participants'!$B$4:$AV$9,6,FALSE)</f>
        <v>14199</v>
      </c>
      <c r="Y5" s="89">
        <f>HLOOKUP(_xlfn.CONCAT(TEXT(Y4,"MMMM YYYYY"), " Participants"),'DR_3A Participants'!$B$4:$AV$9,6,FALSE)</f>
        <v>14587</v>
      </c>
      <c r="Z5" s="89">
        <f>HLOOKUP(_xlfn.CONCAT(TEXT(Z4,"MMMM YYYYY"), " Participants"),'DR_3A Participants'!$B$4:$AV$9,6,FALSE)</f>
        <v>14935</v>
      </c>
      <c r="AA5" s="89">
        <f>HLOOKUP(_xlfn.CONCAT(TEXT(AA4,"MMMM YYYYY"), " Participants"),'DR_3A Participants'!$B$4:$AV$9,6,FALSE)</f>
        <v>13954</v>
      </c>
      <c r="AB5" s="89">
        <f>HLOOKUP(_xlfn.CONCAT(TEXT(AB4,"MMMM YYYYY"), " Participants"),'DR_3A Participants'!$B$4:$AV$9,6,FALSE)</f>
        <v>15555</v>
      </c>
      <c r="AC5" s="89">
        <f>HLOOKUP(_xlfn.CONCAT(TEXT(AC4,"MMMM YYYYY"), " Participants"),'DR_3A Participants'!$B$4:$AV$9,6,FALSE)</f>
        <v>14801</v>
      </c>
      <c r="AD5" s="89">
        <f>HLOOKUP(_xlfn.CONCAT(TEXT(AD4,"MMMM YYYYY"), " Participants"),'DR_3A Participants'!$B$4:$AV$9,6,FALSE)</f>
        <v>16332</v>
      </c>
      <c r="AE5" s="89">
        <f>HLOOKUP(_xlfn.CONCAT(TEXT(AE4,"MMMM YYYYY"), " Participants"),'DR_3A Participants'!$B$4:$AV$9,6,FALSE)</f>
        <v>18421</v>
      </c>
      <c r="AF5" s="89">
        <f>HLOOKUP(_xlfn.CONCAT(TEXT(AF4,"MMMM YYYYY"), " Participants"),'DR_3A Participants'!$B$4:$AV$9,6,FALSE)</f>
        <v>19013</v>
      </c>
      <c r="AG5" s="89">
        <f>HLOOKUP(_xlfn.CONCAT(TEXT(AG4,"MMMM YYYYY"), " Participants"),'DR_3A Participants'!$B$4:$AV$9,6,FALSE)</f>
        <v>19595</v>
      </c>
      <c r="AH5" s="89">
        <f>HLOOKUP(_xlfn.CONCAT(TEXT(AH4,"MMMM YYYYY"), " Participants"),'DR_3A Participants'!$B$4:$AV$9,6,FALSE)</f>
        <v>20085</v>
      </c>
      <c r="AI5" s="89">
        <f>HLOOKUP(_xlfn.CONCAT(TEXT(AI4,"MMMM YYYYY"), " Participants"),'DR_3A Participants'!$B$4:$AV$9,6,FALSE)</f>
        <v>20688</v>
      </c>
      <c r="AJ5" s="89">
        <f>HLOOKUP(_xlfn.CONCAT(TEXT(AJ4,"MMMM YYYYY"), " Participants"),'DR_3A Participants'!$B$4:$AV$9,6,FALSE)</f>
        <v>21144</v>
      </c>
      <c r="AK5" s="89">
        <f>HLOOKUP(_xlfn.CONCAT(TEXT(AK4,"MMMM YYYYY"), " Participants"),'DR_3A Participants'!$B$4:$AV$9,6,FALSE)</f>
        <v>21414</v>
      </c>
      <c r="AL5" s="89">
        <f>HLOOKUP(_xlfn.CONCAT(TEXT(AL4,"MMMM YYYYY"), " Participants"),'DR_3A Participants'!$B$4:$AV$9,6,FALSE)</f>
        <v>21854</v>
      </c>
      <c r="AM5" s="89">
        <f>HLOOKUP(_xlfn.CONCAT(TEXT(AM4,"MMMM YYYYY"), " Participants"),'DR_3A Participants'!$B$4:$AV$9,6,FALSE)</f>
        <v>28110</v>
      </c>
      <c r="AN5" s="89">
        <f>HLOOKUP(_xlfn.CONCAT(TEXT(AN4,"MMMM YYYYY"), " Participants"),'DR_3A Participants'!$B$4:$AV$9,6,FALSE)</f>
        <v>49252</v>
      </c>
      <c r="AO5" s="89">
        <f>HLOOKUP(_xlfn.CONCAT(TEXT(AO4,"MMMM YYYYY"), " Participants"),'DR_3A Participants'!$B$4:$AV$9,6,FALSE)</f>
        <v>57155</v>
      </c>
      <c r="AP5" s="89">
        <f>HLOOKUP(_xlfn.CONCAT(TEXT(AP4,"MMMM YYYYY"), " Participants"),'DR_3A Participants'!$B$4:$AV$9,6,FALSE)</f>
        <v>57602</v>
      </c>
      <c r="AQ5" s="89">
        <f>HLOOKUP(_xlfn.CONCAT(TEXT(AQ4,"MMMM YYYYY"), " Participants"),'DR_3A Participants'!$B$4:$AV$9,6,FALSE)</f>
        <v>54185</v>
      </c>
      <c r="AR5" s="89">
        <f>HLOOKUP(_xlfn.CONCAT(TEXT(AR4,"MMMM YYYYY"), " Participants"),'DR_3A Participants'!$B$4:$AV$9,6,FALSE)</f>
        <v>58344</v>
      </c>
      <c r="AS5" s="89">
        <f>HLOOKUP(_xlfn.CONCAT(TEXT(AS4,"MMMM YYYYY"), " Participants"),'DR_3A Participants'!$B$4:$AV$9,6,FALSE)</f>
        <v>58618</v>
      </c>
      <c r="AT5" s="89">
        <f>HLOOKUP(_xlfn.CONCAT(TEXT(AT4,"MMMM YYYYY"), " Participants"),'DR_3A Participants'!$B$4:$AV$9,6,FALSE)</f>
        <v>59305</v>
      </c>
      <c r="AU5" s="89">
        <f>HLOOKUP(_xlfn.CONCAT(TEXT(AU4,"MMMM YYYYY"), " Participants"),'DR_3A Participants'!$B$4:$AV$9,6,FALSE)</f>
        <v>60225</v>
      </c>
      <c r="AV5" s="89">
        <f>HLOOKUP(_xlfn.CONCAT(TEXT(AV4,"MMMM YYYYY"), " Participants"),'DR_3A Participants'!$B$4:$AV$9,6,FALSE)</f>
        <v>56464</v>
      </c>
      <c r="AW5" s="131">
        <f t="shared" ref="AW5:BE5" si="0">AV5*(1+AW3)</f>
        <v>59287.200000000004</v>
      </c>
      <c r="AX5" s="131">
        <f t="shared" si="0"/>
        <v>59880.072000000007</v>
      </c>
      <c r="AY5" s="131">
        <f t="shared" si="0"/>
        <v>56886.068400000004</v>
      </c>
      <c r="AZ5" s="131">
        <f t="shared" si="0"/>
        <v>59730.371820000008</v>
      </c>
      <c r="BA5" s="131">
        <f t="shared" si="0"/>
        <v>60327.675538200005</v>
      </c>
      <c r="BB5" s="131">
        <f t="shared" si="0"/>
        <v>60930.952293582006</v>
      </c>
      <c r="BC5" s="131">
        <f t="shared" si="0"/>
        <v>58493.714201838724</v>
      </c>
      <c r="BD5" s="131">
        <f t="shared" si="0"/>
        <v>60833.462769912272</v>
      </c>
      <c r="BE5" s="131">
        <f t="shared" si="0"/>
        <v>61441.797397611394</v>
      </c>
      <c r="BF5" s="131">
        <f t="shared" ref="BF5" si="1">BE5*(1+BF3)</f>
        <v>60827.379423635277</v>
      </c>
      <c r="BG5" s="131">
        <f t="shared" ref="BG5" si="2">BF5*(1+BG3)</f>
        <v>60827.379423635277</v>
      </c>
      <c r="BH5" s="131">
        <f t="shared" ref="BH5" si="3">BG5*(1+BH3)</f>
        <v>60827.379423635277</v>
      </c>
      <c r="BI5" s="131">
        <f t="shared" ref="BI5" si="4">BH5*(1+BI3)</f>
        <v>60827.379423635277</v>
      </c>
      <c r="BJ5" s="131">
        <f t="shared" ref="BJ5" si="5">BI5*(1+BJ3)</f>
        <v>60827.379423635277</v>
      </c>
      <c r="BK5" s="131">
        <f t="shared" ref="BK5" si="6">BJ5*(1+BK3)</f>
        <v>60827.379423635277</v>
      </c>
      <c r="BL5" s="131">
        <f t="shared" ref="BL5" si="7">BK5*(1+BL3)</f>
        <v>60827.379423635277</v>
      </c>
      <c r="BM5" s="131">
        <f t="shared" ref="BM5" si="8">BL5*(1+BM3)</f>
        <v>60827.379423635277</v>
      </c>
      <c r="BN5" s="131">
        <f t="shared" ref="BN5" si="9">BM5*(1+BN3)</f>
        <v>60827.379423635277</v>
      </c>
      <c r="BO5" s="131">
        <f t="shared" ref="BO5" si="10">BN5*(1+BO3)</f>
        <v>60827.379423635277</v>
      </c>
      <c r="BP5" s="131">
        <f t="shared" ref="BP5" si="11">BO5*(1+BP3)</f>
        <v>60827.379423635277</v>
      </c>
      <c r="BQ5" s="131">
        <f t="shared" ref="BQ5" si="12">BP5*(1+BQ3)</f>
        <v>60827.379423635277</v>
      </c>
    </row>
    <row r="6" spans="1:69" s="95" customFormat="1" x14ac:dyDescent="0.2">
      <c r="A6" s="111" t="s">
        <v>49</v>
      </c>
      <c r="B6" s="133">
        <f t="shared" ref="B6:I6" si="13">B4</f>
        <v>44197</v>
      </c>
      <c r="C6" s="133">
        <f t="shared" si="13"/>
        <v>44228</v>
      </c>
      <c r="D6" s="133">
        <f t="shared" si="13"/>
        <v>44256</v>
      </c>
      <c r="E6" s="133">
        <f t="shared" si="13"/>
        <v>44287</v>
      </c>
      <c r="F6" s="133">
        <f t="shared" si="13"/>
        <v>44317</v>
      </c>
      <c r="G6" s="133">
        <f t="shared" si="13"/>
        <v>44348</v>
      </c>
      <c r="H6" s="133">
        <f t="shared" si="13"/>
        <v>44378</v>
      </c>
      <c r="I6" s="133">
        <f t="shared" si="13"/>
        <v>44409</v>
      </c>
      <c r="J6" s="133">
        <f t="shared" ref="J6:AG6" si="14">J4</f>
        <v>44440</v>
      </c>
      <c r="K6" s="133">
        <f t="shared" si="14"/>
        <v>44470</v>
      </c>
      <c r="L6" s="133">
        <f t="shared" si="14"/>
        <v>44501</v>
      </c>
      <c r="M6" s="133">
        <f t="shared" si="14"/>
        <v>44531</v>
      </c>
      <c r="N6" s="133">
        <f t="shared" si="14"/>
        <v>44562</v>
      </c>
      <c r="O6" s="133">
        <f>O4</f>
        <v>44593</v>
      </c>
      <c r="P6" s="133">
        <f t="shared" si="14"/>
        <v>44621</v>
      </c>
      <c r="Q6" s="133">
        <f t="shared" si="14"/>
        <v>44652</v>
      </c>
      <c r="R6" s="133">
        <f t="shared" si="14"/>
        <v>44682</v>
      </c>
      <c r="S6" s="133">
        <f t="shared" si="14"/>
        <v>44713</v>
      </c>
      <c r="T6" s="133">
        <f t="shared" si="14"/>
        <v>44743</v>
      </c>
      <c r="U6" s="133">
        <f t="shared" si="14"/>
        <v>44774</v>
      </c>
      <c r="V6" s="133">
        <f t="shared" si="14"/>
        <v>44805</v>
      </c>
      <c r="W6" s="133">
        <f t="shared" si="14"/>
        <v>44835</v>
      </c>
      <c r="X6" s="133">
        <f t="shared" si="14"/>
        <v>44866</v>
      </c>
      <c r="Y6" s="133">
        <f t="shared" si="14"/>
        <v>44896</v>
      </c>
      <c r="Z6" s="133">
        <f t="shared" si="14"/>
        <v>44927</v>
      </c>
      <c r="AA6" s="133">
        <f t="shared" si="14"/>
        <v>44958</v>
      </c>
      <c r="AB6" s="133">
        <f t="shared" si="14"/>
        <v>44986</v>
      </c>
      <c r="AC6" s="133">
        <f t="shared" si="14"/>
        <v>45017</v>
      </c>
      <c r="AD6" s="133">
        <f t="shared" si="14"/>
        <v>45047</v>
      </c>
      <c r="AE6" s="133">
        <f t="shared" si="14"/>
        <v>45078</v>
      </c>
      <c r="AF6" s="133">
        <f t="shared" si="14"/>
        <v>45108</v>
      </c>
      <c r="AG6" s="133">
        <f t="shared" si="14"/>
        <v>45139</v>
      </c>
      <c r="AH6" s="133">
        <f t="shared" ref="AH6:BQ6" si="15">AH4</f>
        <v>45170</v>
      </c>
      <c r="AI6" s="133">
        <f t="shared" si="15"/>
        <v>45200</v>
      </c>
      <c r="AJ6" s="133">
        <f t="shared" si="15"/>
        <v>45231</v>
      </c>
      <c r="AK6" s="130">
        <f t="shared" si="15"/>
        <v>45261</v>
      </c>
      <c r="AL6" s="130">
        <f t="shared" ref="AL6:AM6" si="16">AL4</f>
        <v>45292</v>
      </c>
      <c r="AM6" s="130">
        <f t="shared" si="16"/>
        <v>45323</v>
      </c>
      <c r="AN6" s="130">
        <f t="shared" si="15"/>
        <v>45352</v>
      </c>
      <c r="AO6" s="130">
        <f t="shared" si="15"/>
        <v>45383</v>
      </c>
      <c r="AP6" s="130">
        <f t="shared" si="15"/>
        <v>45413</v>
      </c>
      <c r="AQ6" s="130">
        <f t="shared" si="15"/>
        <v>45444</v>
      </c>
      <c r="AR6" s="130">
        <f t="shared" si="15"/>
        <v>45474</v>
      </c>
      <c r="AS6" s="130">
        <f t="shared" si="15"/>
        <v>45505</v>
      </c>
      <c r="AT6" s="130">
        <f t="shared" si="15"/>
        <v>45536</v>
      </c>
      <c r="AU6" s="130">
        <f t="shared" si="15"/>
        <v>45566</v>
      </c>
      <c r="AV6" s="130">
        <f t="shared" si="15"/>
        <v>45597</v>
      </c>
      <c r="AW6" s="130">
        <f t="shared" si="15"/>
        <v>45627</v>
      </c>
      <c r="AX6" s="130">
        <f t="shared" si="15"/>
        <v>45658</v>
      </c>
      <c r="AY6" s="130">
        <f t="shared" si="15"/>
        <v>45689</v>
      </c>
      <c r="AZ6" s="130">
        <f t="shared" si="15"/>
        <v>45717</v>
      </c>
      <c r="BA6" s="130">
        <f t="shared" si="15"/>
        <v>45748</v>
      </c>
      <c r="BB6" s="130">
        <f t="shared" si="15"/>
        <v>45778</v>
      </c>
      <c r="BC6" s="130">
        <f t="shared" si="15"/>
        <v>45809</v>
      </c>
      <c r="BD6" s="130">
        <f t="shared" si="15"/>
        <v>45839</v>
      </c>
      <c r="BE6" s="130">
        <f t="shared" si="15"/>
        <v>45870</v>
      </c>
      <c r="BF6" s="130">
        <f t="shared" si="15"/>
        <v>45901</v>
      </c>
      <c r="BG6" s="130">
        <f t="shared" si="15"/>
        <v>45931</v>
      </c>
      <c r="BH6" s="130">
        <f t="shared" si="15"/>
        <v>45962</v>
      </c>
      <c r="BI6" s="130">
        <f t="shared" si="15"/>
        <v>45992</v>
      </c>
      <c r="BJ6" s="130">
        <f t="shared" si="15"/>
        <v>46023</v>
      </c>
      <c r="BK6" s="130">
        <f t="shared" si="15"/>
        <v>46054</v>
      </c>
      <c r="BL6" s="130">
        <f t="shared" si="15"/>
        <v>46082</v>
      </c>
      <c r="BM6" s="130">
        <f t="shared" si="15"/>
        <v>46113</v>
      </c>
      <c r="BN6" s="130">
        <f t="shared" si="15"/>
        <v>46143</v>
      </c>
      <c r="BO6" s="130">
        <f t="shared" si="15"/>
        <v>46174</v>
      </c>
      <c r="BP6" s="130">
        <f t="shared" si="15"/>
        <v>46204</v>
      </c>
      <c r="BQ6" s="130">
        <f t="shared" si="15"/>
        <v>46235</v>
      </c>
    </row>
    <row r="7" spans="1:69" s="14" customFormat="1" x14ac:dyDescent="0.2">
      <c r="A7" s="112" t="s">
        <v>50</v>
      </c>
      <c r="B7" s="90">
        <f>HLOOKUP(_xlfn.CONCAT(TEXT(B6,"MMMM YYYYY"), " Discount"),DR_4!$B$4:$AV$9,6,FALSE)</f>
        <v>749780.55</v>
      </c>
      <c r="C7" s="90">
        <f>HLOOKUP(_xlfn.CONCAT(TEXT(C6,"MMMM YYYYY"), " Discount"),DR_4!$B$4:$AV$9,6,FALSE)</f>
        <v>738523.75</v>
      </c>
      <c r="D7" s="90">
        <f>HLOOKUP(_xlfn.CONCAT(TEXT(D6,"MMMM YYYYY"), " Discount"),DR_4!$B$4:$AV$9,6,FALSE)</f>
        <v>750189.65</v>
      </c>
      <c r="E7" s="90">
        <f>HLOOKUP(_xlfn.CONCAT(TEXT(E6,"MMMM YYYYY"), " Discount"),DR_4!$B$4:$AV$9,6,FALSE)</f>
        <v>809241.49</v>
      </c>
      <c r="F7" s="90">
        <f>HLOOKUP(_xlfn.CONCAT(TEXT(F6,"MMMM YYYYY"), " Discount"),DR_4!$B$4:$AV$9,6,FALSE)</f>
        <v>698360.27</v>
      </c>
      <c r="G7" s="90">
        <f>HLOOKUP(_xlfn.CONCAT(TEXT(G6,"MMMM YYYYY"), " Discount"),DR_4!$B$4:$AV$9,6,FALSE)</f>
        <v>746041.41999999993</v>
      </c>
      <c r="H7" s="90">
        <f>HLOOKUP(_xlfn.CONCAT(TEXT(H6,"MMMM YYYYY"), " Discount"),DR_4!$B$4:$AV$9,6,FALSE)</f>
        <v>828623.66</v>
      </c>
      <c r="I7" s="90">
        <f>HLOOKUP(_xlfn.CONCAT(TEXT(I6,"MMMM YYYYY"), " Discount"),DR_4!$B$4:$AV$9,6,FALSE)</f>
        <v>806559.99</v>
      </c>
      <c r="J7" s="90">
        <f>HLOOKUP(_xlfn.CONCAT(TEXT(J6,"MMMM YYYYY"), " Discount"),DR_4!$B$4:$AV$9,6,FALSE)</f>
        <v>829267.89</v>
      </c>
      <c r="K7" s="90">
        <f>HLOOKUP(_xlfn.CONCAT(TEXT(K6,"MMMM YYYYY"), " Discount"),DR_4!$B$4:$AV$9,6,FALSE)</f>
        <v>928402.63000000012</v>
      </c>
      <c r="L7" s="90">
        <f>HLOOKUP(_xlfn.CONCAT(TEXT(L6,"MMMM YYYYY"), " Discount"),DR_4!$B$4:$AV$9,6,FALSE)</f>
        <v>827635.65</v>
      </c>
      <c r="M7" s="90">
        <f>HLOOKUP(_xlfn.CONCAT(TEXT(M6,"MMMM YYYYY"), " Discount"),DR_4!$B$4:$AV$9,6,FALSE)</f>
        <v>812904.04</v>
      </c>
      <c r="N7" s="90">
        <f>HLOOKUP(_xlfn.CONCAT(TEXT(N6,"MMMM YYYYY"), " Discount"),DR_4!$B$4:$AV$9,6,FALSE)</f>
        <v>781743.53</v>
      </c>
      <c r="O7" s="90">
        <f>HLOOKUP(_xlfn.CONCAT(TEXT(O6,"MMMM YYYYY"), " Discount"),DR_4!$B$4:$AV$9,6,FALSE)</f>
        <v>618778.17000000004</v>
      </c>
      <c r="P7" s="90">
        <f>HLOOKUP(_xlfn.CONCAT(TEXT(P6,"MMMM YYYYY"), " Discount"),DR_4!$B$4:$AV$9,6,FALSE)</f>
        <v>601752.35</v>
      </c>
      <c r="Q7" s="90">
        <f>HLOOKUP(_xlfn.CONCAT(TEXT(Q6,"MMMM YYYYY"), " Discount"),DR_4!$B$4:$AV$9,6,FALSE)</f>
        <v>492429.07</v>
      </c>
      <c r="R7" s="90">
        <f>HLOOKUP(_xlfn.CONCAT(TEXT(R6,"MMMM YYYYY"), " Discount"),DR_4!$B$4:$AV$9,6,FALSE)</f>
        <v>458163.8</v>
      </c>
      <c r="S7" s="90">
        <f>HLOOKUP(_xlfn.CONCAT(TEXT(S6,"MMMM YYYYY"), " Discount"),DR_4!$B$4:$AV$9,6,FALSE)</f>
        <v>479330.63</v>
      </c>
      <c r="T7" s="90">
        <f>HLOOKUP(_xlfn.CONCAT(TEXT(T6,"MMMM YYYYY"), " Discount"),DR_4!$B$4:$AV$9,6,FALSE)</f>
        <v>543003.94999999995</v>
      </c>
      <c r="U7" s="90">
        <f>HLOOKUP(_xlfn.CONCAT(TEXT(U6,"MMMM YYYYY"), " Discount"),DR_4!$B$4:$AV$9,6,FALSE)</f>
        <v>582245.11</v>
      </c>
      <c r="V7" s="90">
        <f>HLOOKUP(_xlfn.CONCAT(TEXT(V6,"MMMM YYYYY"), " Discount"),DR_4!$B$4:$AV$9,6,FALSE)</f>
        <v>776864.07000000007</v>
      </c>
      <c r="W7" s="90">
        <f>HLOOKUP(_xlfn.CONCAT(TEXT(W6,"MMMM YYYYY"), " Discount"),DR_4!$B$4:$AV$9,6,FALSE)</f>
        <v>750157.67999999993</v>
      </c>
      <c r="X7" s="90">
        <f>HLOOKUP(_xlfn.CONCAT(TEXT(X6,"MMMM YYYYY"), " Discount"),DR_4!$B$4:$AV$9,6,FALSE)</f>
        <v>725403.15</v>
      </c>
      <c r="Y7" s="90">
        <f>HLOOKUP(_xlfn.CONCAT(TEXT(Y6,"MMMM YYYYY"), " Discount"),DR_4!$B$4:$AV$9,6,FALSE)</f>
        <v>777748.59000000008</v>
      </c>
      <c r="Z7" s="90">
        <f>HLOOKUP(_xlfn.CONCAT(TEXT(Z6,"MMMM YYYYY"), " Discount"),DR_4!$B$4:$AV$9,6,FALSE)</f>
        <v>871042.87000000011</v>
      </c>
      <c r="AA7" s="90">
        <f>HLOOKUP(_xlfn.CONCAT(TEXT(AA6,"MMMM YYYYY"), " Discount"),DR_4!$B$4:$AV$9,6,FALSE)</f>
        <v>695046.57000000007</v>
      </c>
      <c r="AB7" s="90">
        <f>HLOOKUP(_xlfn.CONCAT(TEXT(AB6,"MMMM YYYYY"), " Discount"),DR_4!$B$4:$AV$9,6,FALSE)</f>
        <v>852318.53</v>
      </c>
      <c r="AC7" s="90">
        <f>HLOOKUP(_xlfn.CONCAT(TEXT(AC6,"MMMM YYYYY"), " Discount"),DR_4!$B$4:$AV$9,6,FALSE)</f>
        <v>717531.64999999991</v>
      </c>
      <c r="AD7" s="90">
        <f>HLOOKUP(_xlfn.CONCAT(TEXT(AD6,"MMMM YYYYY"), " Discount"),DR_4!$B$4:$AV$9,6,FALSE)</f>
        <v>754140.9</v>
      </c>
      <c r="AE7" s="90">
        <f>HLOOKUP(_xlfn.CONCAT(TEXT(AE6,"MMMM YYYYY"), " Discount"),DR_4!$B$4:$AV$9,6,FALSE)</f>
        <v>976152.66999999993</v>
      </c>
      <c r="AF7" s="90">
        <f>HLOOKUP(_xlfn.CONCAT(TEXT(AF6,"MMMM YYYYY"), " Discount"),DR_4!$B$4:$AV$9,6,FALSE)</f>
        <v>1063519.67</v>
      </c>
      <c r="AG7" s="90">
        <f>HLOOKUP(_xlfn.CONCAT(TEXT(AG6,"MMMM YYYYY"), " Discount"),DR_4!$B$4:$AV$9,6,FALSE)</f>
        <v>1026207.03</v>
      </c>
      <c r="AH7" s="90">
        <f>HLOOKUP(_xlfn.CONCAT(TEXT(AH6,"MMMM YYYYY"), " Discount"),DR_4!$B$4:$AV$9,6,FALSE)</f>
        <v>1224474.28</v>
      </c>
      <c r="AI7" s="90">
        <f>HLOOKUP(_xlfn.CONCAT(TEXT(AI6,"MMMM YYYYY"), " Discount"),DR_4!$B$4:$AV$9,6,FALSE)</f>
        <v>1189327.49</v>
      </c>
      <c r="AJ7" s="90">
        <f>HLOOKUP(_xlfn.CONCAT(TEXT(AJ6,"MMMM YYYYY"), " Discount"),DR_4!$B$4:$AV$9,6,FALSE)</f>
        <v>1261334.7999999998</v>
      </c>
      <c r="AK7" s="90">
        <f>HLOOKUP(_xlfn.CONCAT(TEXT(AK6,"MMMM YYYYY"), " Discount"),DR_4!$B$4:$AV$9,6,FALSE)</f>
        <v>1281870.8600000001</v>
      </c>
      <c r="AL7" s="90">
        <f>HLOOKUP(_xlfn.CONCAT(TEXT(AL6,"MMMM YYYYY"), " Discount"),DR_4!$B$4:$AV$9,6,FALSE)</f>
        <v>1329360.8400000001</v>
      </c>
      <c r="AM7" s="90">
        <f>HLOOKUP(_xlfn.CONCAT(TEXT(AM6,"MMMM YYYYY"), " Discount"),DR_4!$B$4:$AV$9,6,FALSE)</f>
        <v>1501646.95</v>
      </c>
      <c r="AN7" s="90">
        <f>HLOOKUP(_xlfn.CONCAT(TEXT(AN6,"MMMM YYYYY"), " Discount"),DR_4!$B$4:$AV$9,6,FALSE)</f>
        <v>1981875.69</v>
      </c>
      <c r="AO7" s="90">
        <f>HLOOKUP(_xlfn.CONCAT(TEXT(AO6,"MMMM YYYYY"), " Discount"),DR_4!$B$4:$AV$9,6,FALSE)</f>
        <v>2094176.7799999998</v>
      </c>
      <c r="AP7" s="90">
        <f>HLOOKUP(_xlfn.CONCAT(TEXT(AP6,"MMMM YYYYY"), " Discount"),DR_4!$B$4:$AV$9,6,FALSE)</f>
        <v>2369075.0499999998</v>
      </c>
      <c r="AQ7" s="90">
        <f>HLOOKUP(_xlfn.CONCAT(TEXT(AQ6,"MMMM YYYYY"), " Discount"),DR_4!$B$4:$AV$9,6,FALSE)</f>
        <v>2351694.42</v>
      </c>
      <c r="AR7" s="90">
        <f>HLOOKUP(_xlfn.CONCAT(TEXT(AR6,"MMMM YYYYY"), " Discount"),DR_4!$B$4:$AV$9,6,FALSE)</f>
        <v>2540192.9900000002</v>
      </c>
      <c r="AS7" s="90">
        <f>HLOOKUP(_xlfn.CONCAT(TEXT(AS6,"MMMM YYYYY"), " Discount"),DR_4!$B$4:$AV$9,6,FALSE)</f>
        <v>2735884.8</v>
      </c>
      <c r="AT7" s="90">
        <f>HLOOKUP(_xlfn.CONCAT(TEXT(AT6,"MMMM YYYYY"), " Discount"),DR_4!$B$4:$AV$9,6,FALSE)</f>
        <v>3197292.01</v>
      </c>
      <c r="AU7" s="90">
        <f>HLOOKUP(_xlfn.CONCAT(TEXT(AU6,"MMMM YYYYY"), " Discount"),DR_4!$B$4:$AV$9,6,FALSE)</f>
        <v>3410473.89</v>
      </c>
      <c r="AV7" s="90">
        <f>HLOOKUP(_xlfn.CONCAT(TEXT(AV6,"MMMM YYYYY"), " Discount"),DR_4!$B$4:$AV$9,6,FALSE)</f>
        <v>3004596.49</v>
      </c>
      <c r="AW7" s="132">
        <f>TRR_Summary!$B$4*AW5</f>
        <v>3238122.0467084567</v>
      </c>
      <c r="AX7" s="132">
        <f>TRR_Summary!$B$4*AX5</f>
        <v>3270503.2671755413</v>
      </c>
      <c r="AY7" s="132">
        <f>TRR_Summary!$B$4*AY5</f>
        <v>3106978.103816764</v>
      </c>
      <c r="AZ7" s="132">
        <f>TRR_Summary!$B$4*AZ5</f>
        <v>3262327.0090076025</v>
      </c>
      <c r="BA7" s="132">
        <f>TRR_Summary!$B$4*BA5</f>
        <v>3294950.2790976781</v>
      </c>
      <c r="BB7" s="132">
        <f>TRR_Summary!$B$4*BB5</f>
        <v>3327899.7818886549</v>
      </c>
      <c r="BC7" s="132">
        <f>TRR_Summary!$B$4*BC5</f>
        <v>3194783.7906131088</v>
      </c>
      <c r="BD7" s="132">
        <f>TRR_Summary!$B$4*BD5</f>
        <v>3322575.142237633</v>
      </c>
      <c r="BE7" s="132">
        <f>TRR_Summary!$B$4*BE5</f>
        <v>3355800.8936600094</v>
      </c>
      <c r="BF7" s="132">
        <f>TRR_Summary!$B$4*BF5</f>
        <v>3322242.8847234091</v>
      </c>
      <c r="BG7" s="132">
        <f>TRR_Summary!$B$4*BG5</f>
        <v>3322242.8847234091</v>
      </c>
      <c r="BH7" s="132">
        <f>TRR_Summary!$B$4*BH5</f>
        <v>3322242.8847234091</v>
      </c>
      <c r="BI7" s="132">
        <f>TRR_Summary!$B$4*BI5</f>
        <v>3322242.8847234091</v>
      </c>
      <c r="BJ7" s="132">
        <f>TRR_Summary!$B$4*BJ5</f>
        <v>3322242.8847234091</v>
      </c>
      <c r="BK7" s="132">
        <f>TRR_Summary!$B$4*BK5</f>
        <v>3322242.8847234091</v>
      </c>
      <c r="BL7" s="132">
        <f>TRR_Summary!$B$4*BL5</f>
        <v>3322242.8847234091</v>
      </c>
      <c r="BM7" s="132">
        <f>TRR_Summary!$B$4*BM5</f>
        <v>3322242.8847234091</v>
      </c>
      <c r="BN7" s="132">
        <f>TRR_Summary!$B$4*BN5</f>
        <v>3322242.8847234091</v>
      </c>
      <c r="BO7" s="132">
        <f>TRR_Summary!$B$4*BO5</f>
        <v>3322242.8847234091</v>
      </c>
      <c r="BP7" s="132">
        <f>TRR_Summary!$B$4*BP5</f>
        <v>3322242.8847234091</v>
      </c>
      <c r="BQ7" s="132">
        <f>TRR_Summary!$B$4*BQ5</f>
        <v>3322242.8847234091</v>
      </c>
    </row>
    <row r="8" spans="1:69" s="95" customFormat="1" x14ac:dyDescent="0.2">
      <c r="A8" s="111" t="s">
        <v>51</v>
      </c>
      <c r="B8" s="133">
        <f t="shared" ref="B8:I8" si="17">B6</f>
        <v>44197</v>
      </c>
      <c r="C8" s="133">
        <f t="shared" si="17"/>
        <v>44228</v>
      </c>
      <c r="D8" s="133">
        <f t="shared" si="17"/>
        <v>44256</v>
      </c>
      <c r="E8" s="133">
        <f t="shared" si="17"/>
        <v>44287</v>
      </c>
      <c r="F8" s="133">
        <f t="shared" si="17"/>
        <v>44317</v>
      </c>
      <c r="G8" s="133">
        <f t="shared" si="17"/>
        <v>44348</v>
      </c>
      <c r="H8" s="133">
        <f t="shared" si="17"/>
        <v>44378</v>
      </c>
      <c r="I8" s="133">
        <f t="shared" si="17"/>
        <v>44409</v>
      </c>
      <c r="J8" s="133">
        <f t="shared" ref="J8:AG8" si="18">J6</f>
        <v>44440</v>
      </c>
      <c r="K8" s="133">
        <f t="shared" si="18"/>
        <v>44470</v>
      </c>
      <c r="L8" s="133">
        <f t="shared" si="18"/>
        <v>44501</v>
      </c>
      <c r="M8" s="133">
        <f t="shared" si="18"/>
        <v>44531</v>
      </c>
      <c r="N8" s="133">
        <f t="shared" si="18"/>
        <v>44562</v>
      </c>
      <c r="O8" s="133">
        <f>O6</f>
        <v>44593</v>
      </c>
      <c r="P8" s="133">
        <f t="shared" si="18"/>
        <v>44621</v>
      </c>
      <c r="Q8" s="133">
        <f t="shared" si="18"/>
        <v>44652</v>
      </c>
      <c r="R8" s="133">
        <f t="shared" si="18"/>
        <v>44682</v>
      </c>
      <c r="S8" s="133">
        <f t="shared" si="18"/>
        <v>44713</v>
      </c>
      <c r="T8" s="133">
        <f t="shared" si="18"/>
        <v>44743</v>
      </c>
      <c r="U8" s="133">
        <f t="shared" si="18"/>
        <v>44774</v>
      </c>
      <c r="V8" s="133">
        <f t="shared" si="18"/>
        <v>44805</v>
      </c>
      <c r="W8" s="133">
        <f t="shared" si="18"/>
        <v>44835</v>
      </c>
      <c r="X8" s="133">
        <f t="shared" si="18"/>
        <v>44866</v>
      </c>
      <c r="Y8" s="133">
        <f t="shared" si="18"/>
        <v>44896</v>
      </c>
      <c r="Z8" s="133">
        <f t="shared" si="18"/>
        <v>44927</v>
      </c>
      <c r="AA8" s="133">
        <f t="shared" si="18"/>
        <v>44958</v>
      </c>
      <c r="AB8" s="133">
        <f t="shared" si="18"/>
        <v>44986</v>
      </c>
      <c r="AC8" s="133">
        <f t="shared" si="18"/>
        <v>45017</v>
      </c>
      <c r="AD8" s="133">
        <f t="shared" si="18"/>
        <v>45047</v>
      </c>
      <c r="AE8" s="133">
        <f t="shared" si="18"/>
        <v>45078</v>
      </c>
      <c r="AF8" s="133">
        <f t="shared" si="18"/>
        <v>45108</v>
      </c>
      <c r="AG8" s="133">
        <f t="shared" si="18"/>
        <v>45139</v>
      </c>
      <c r="AH8" s="133">
        <f t="shared" ref="AH8:BQ8" si="19">AH6</f>
        <v>45170</v>
      </c>
      <c r="AI8" s="133">
        <f t="shared" si="19"/>
        <v>45200</v>
      </c>
      <c r="AJ8" s="133">
        <f t="shared" si="19"/>
        <v>45231</v>
      </c>
      <c r="AK8" s="130">
        <f t="shared" si="19"/>
        <v>45261</v>
      </c>
      <c r="AL8" s="130">
        <f t="shared" ref="AL8:AM8" si="20">AL6</f>
        <v>45292</v>
      </c>
      <c r="AM8" s="130">
        <f t="shared" si="20"/>
        <v>45323</v>
      </c>
      <c r="AN8" s="130">
        <f t="shared" si="19"/>
        <v>45352</v>
      </c>
      <c r="AO8" s="130">
        <f t="shared" si="19"/>
        <v>45383</v>
      </c>
      <c r="AP8" s="130">
        <f t="shared" si="19"/>
        <v>45413</v>
      </c>
      <c r="AQ8" s="130">
        <f t="shared" si="19"/>
        <v>45444</v>
      </c>
      <c r="AR8" s="130">
        <f t="shared" si="19"/>
        <v>45474</v>
      </c>
      <c r="AS8" s="130">
        <f t="shared" si="19"/>
        <v>45505</v>
      </c>
      <c r="AT8" s="130">
        <f t="shared" si="19"/>
        <v>45536</v>
      </c>
      <c r="AU8" s="130">
        <f t="shared" si="19"/>
        <v>45566</v>
      </c>
      <c r="AV8" s="130">
        <f t="shared" si="19"/>
        <v>45597</v>
      </c>
      <c r="AW8" s="130">
        <f t="shared" si="19"/>
        <v>45627</v>
      </c>
      <c r="AX8" s="130">
        <f t="shared" si="19"/>
        <v>45658</v>
      </c>
      <c r="AY8" s="130">
        <f t="shared" si="19"/>
        <v>45689</v>
      </c>
      <c r="AZ8" s="130">
        <f t="shared" si="19"/>
        <v>45717</v>
      </c>
      <c r="BA8" s="130">
        <f t="shared" si="19"/>
        <v>45748</v>
      </c>
      <c r="BB8" s="130">
        <f t="shared" si="19"/>
        <v>45778</v>
      </c>
      <c r="BC8" s="130">
        <f t="shared" si="19"/>
        <v>45809</v>
      </c>
      <c r="BD8" s="130">
        <f t="shared" si="19"/>
        <v>45839</v>
      </c>
      <c r="BE8" s="130">
        <f t="shared" si="19"/>
        <v>45870</v>
      </c>
      <c r="BF8" s="130">
        <f t="shared" si="19"/>
        <v>45901</v>
      </c>
      <c r="BG8" s="130">
        <f t="shared" si="19"/>
        <v>45931</v>
      </c>
      <c r="BH8" s="130">
        <f t="shared" si="19"/>
        <v>45962</v>
      </c>
      <c r="BI8" s="130">
        <f t="shared" si="19"/>
        <v>45992</v>
      </c>
      <c r="BJ8" s="130">
        <f t="shared" si="19"/>
        <v>46023</v>
      </c>
      <c r="BK8" s="130">
        <f t="shared" si="19"/>
        <v>46054</v>
      </c>
      <c r="BL8" s="130">
        <f t="shared" si="19"/>
        <v>46082</v>
      </c>
      <c r="BM8" s="130">
        <f t="shared" si="19"/>
        <v>46113</v>
      </c>
      <c r="BN8" s="130">
        <f t="shared" si="19"/>
        <v>46143</v>
      </c>
      <c r="BO8" s="130">
        <f t="shared" si="19"/>
        <v>46174</v>
      </c>
      <c r="BP8" s="130">
        <f t="shared" si="19"/>
        <v>46204</v>
      </c>
      <c r="BQ8" s="130">
        <f t="shared" si="19"/>
        <v>46235</v>
      </c>
    </row>
    <row r="9" spans="1:69" x14ac:dyDescent="0.2">
      <c r="A9" s="112" t="s">
        <v>35</v>
      </c>
      <c r="B9" s="78">
        <f>HLOOKUP(_xlfn.CONCAT(TEXT(B8,"MMMM YYYYY"), " Water Billed Volume (CCF)"),DR_1!$B$4:$AW$14,11,FALSE)</f>
        <v>118010</v>
      </c>
      <c r="C9" s="78">
        <f>HLOOKUP(_xlfn.CONCAT(TEXT(C8,"MMMM YYYYY"), " Water Billed Volume (CCF)"),DR_1!$B$4:$AW$14,11,FALSE)</f>
        <v>116161</v>
      </c>
      <c r="D9" s="78">
        <f>HLOOKUP(_xlfn.CONCAT(TEXT(D8,"MMMM YYYYY"), " Water Billed Volume (CCF)"),DR_1!$B$4:$AW$14,11,FALSE)</f>
        <v>118666</v>
      </c>
      <c r="E9" s="78">
        <f>HLOOKUP(_xlfn.CONCAT(TEXT(E8,"MMMM YYYYY"), " Water Billed Volume (CCF)"),DR_1!$B$4:$AW$14,11,FALSE)</f>
        <v>127351</v>
      </c>
      <c r="F9" s="78">
        <f>HLOOKUP(_xlfn.CONCAT(TEXT(F8,"MMMM YYYYY"), " Water Billed Volume (CCF)"),DR_1!$B$4:$AW$14,11,FALSE)</f>
        <v>110763</v>
      </c>
      <c r="G9" s="78">
        <f>HLOOKUP(_xlfn.CONCAT(TEXT(G8,"MMMM YYYYY"), " Water Billed Volume (CCF)"),DR_1!$B$4:$AW$14,11,FALSE)</f>
        <v>116870</v>
      </c>
      <c r="H9" s="78">
        <f>HLOOKUP(_xlfn.CONCAT(TEXT(H8,"MMMM YYYYY"), " Water Billed Volume (CCF)"),DR_1!$B$4:$AW$14,11,FALSE)</f>
        <v>129780</v>
      </c>
      <c r="I9" s="78">
        <f>HLOOKUP(_xlfn.CONCAT(TEXT(I8,"MMMM YYYYY"), " Water Billed Volume (CCF)"),DR_1!$B$4:$AW$14,11,FALSE)</f>
        <v>126667</v>
      </c>
      <c r="J9" s="78">
        <f>HLOOKUP(_xlfn.CONCAT(TEXT(J8,"MMMM YYYYY"), " Water Billed Volume (CCF)"),DR_1!$B$4:$AW$14,11,FALSE)</f>
        <v>126653</v>
      </c>
      <c r="K9" s="78">
        <f>HLOOKUP(_xlfn.CONCAT(TEXT(K8,"MMMM YYYYY"), " Water Billed Volume (CCF)"),DR_1!$B$4:$AW$14,11,FALSE)</f>
        <v>136521</v>
      </c>
      <c r="L9" s="78">
        <f>HLOOKUP(_xlfn.CONCAT(TEXT(L8,"MMMM YYYYY"), " Water Billed Volume (CCF)"),DR_1!$B$4:$AW$14,11,FALSE)</f>
        <v>121673</v>
      </c>
      <c r="M9" s="78">
        <f>HLOOKUP(_xlfn.CONCAT(TEXT(M8,"MMMM YYYYY"), " Water Billed Volume (CCF)"),DR_1!$B$4:$AW$14,11,FALSE)</f>
        <v>119924</v>
      </c>
      <c r="N9" s="78">
        <f>HLOOKUP(_xlfn.CONCAT(TEXT(N8,"MMMM YYYYY"), " Water Billed Volume (CCF)"),DR_1!$B$4:$AW$14,11,FALSE)</f>
        <v>115052</v>
      </c>
      <c r="O9" s="78">
        <f>HLOOKUP(_xlfn.CONCAT(TEXT(O8,"MMMM YYYYY"), " Water Billed Volume (CCF)"),DR_1!$B$4:$AW$14,11,FALSE)</f>
        <v>91963</v>
      </c>
      <c r="P9" s="78">
        <f>HLOOKUP(_xlfn.CONCAT(TEXT(P8,"MMMM YYYYY"), " Water Billed Volume (CCF)"),DR_1!$B$4:$AW$14,11,FALSE)</f>
        <v>90386</v>
      </c>
      <c r="Q9" s="78">
        <f>HLOOKUP(_xlfn.CONCAT(TEXT(Q8,"MMMM YYYYY"), " Water Billed Volume (CCF)"),DR_1!$B$4:$AW$14,11,FALSE)</f>
        <v>74126</v>
      </c>
      <c r="R9" s="78">
        <f>HLOOKUP(_xlfn.CONCAT(TEXT(R8,"MMMM YYYYY"), " Water Billed Volume (CCF)"),DR_1!$B$4:$AW$14,11,FALSE)</f>
        <v>69737</v>
      </c>
      <c r="S9" s="78">
        <f>HLOOKUP(_xlfn.CONCAT(TEXT(S8,"MMMM YYYYY"), " Water Billed Volume (CCF)"),DR_1!$B$4:$AW$14,11,FALSE)</f>
        <v>72226</v>
      </c>
      <c r="T9" s="78">
        <f>HLOOKUP(_xlfn.CONCAT(TEXT(T8,"MMMM YYYYY"), " Water Billed Volume (CCF)"),DR_1!$B$4:$AW$14,11,FALSE)</f>
        <v>81031</v>
      </c>
      <c r="U9" s="78">
        <f>HLOOKUP(_xlfn.CONCAT(TEXT(U8,"MMMM YYYYY"), " Water Billed Volume (CCF)"),DR_1!$B$4:$AW$14,11,FALSE)</f>
        <v>87678</v>
      </c>
      <c r="V9" s="78">
        <f>HLOOKUP(_xlfn.CONCAT(TEXT(V8,"MMMM YYYYY"), " Water Billed Volume (CCF)"),DR_1!$B$4:$AW$14,11,FALSE)</f>
        <v>110502</v>
      </c>
      <c r="W9" s="78">
        <f>HLOOKUP(_xlfn.CONCAT(TEXT(W8,"MMMM YYYYY"), " Water Billed Volume (CCF)"),DR_1!$B$4:$AW$14,11,FALSE)</f>
        <v>102826</v>
      </c>
      <c r="X9" s="78">
        <f>HLOOKUP(_xlfn.CONCAT(TEXT(X8,"MMMM YYYYY"), " Water Billed Volume (CCF)"),DR_1!$B$4:$AW$14,11,FALSE)</f>
        <v>99826</v>
      </c>
      <c r="Y9" s="78">
        <f>HLOOKUP(_xlfn.CONCAT(TEXT(Y8,"MMMM YYYYY"), " Water Billed Volume (CCF)"),DR_1!$B$4:$AW$14,11,FALSE)</f>
        <v>106855</v>
      </c>
      <c r="Z9" s="78">
        <f>HLOOKUP(_xlfn.CONCAT(TEXT(Z8,"MMMM YYYYY"), " Water Billed Volume (CCF)"),DR_1!$B$4:$AW$14,11,FALSE)</f>
        <v>120230</v>
      </c>
      <c r="AA9" s="78">
        <f>HLOOKUP(_xlfn.CONCAT(TEXT(AA8,"MMMM YYYYY"), " Water Billed Volume (CCF)"),DR_1!$B$4:$AW$14,11,FALSE)</f>
        <v>95619</v>
      </c>
      <c r="AB9" s="78">
        <f>HLOOKUP(_xlfn.CONCAT(TEXT(AB8,"MMMM YYYYY"), " Water Billed Volume (CCF)"),DR_1!$B$4:$AW$14,11,FALSE)</f>
        <v>118362</v>
      </c>
      <c r="AC9" s="78">
        <f>HLOOKUP(_xlfn.CONCAT(TEXT(AC8,"MMMM YYYYY"), " Water Billed Volume (CCF)"),DR_1!$B$4:$AW$14,11,FALSE)</f>
        <v>99122</v>
      </c>
      <c r="AD9" s="78">
        <f>HLOOKUP(_xlfn.CONCAT(TEXT(AD8,"MMMM YYYYY"), " Water Billed Volume (CCF)"),DR_1!$B$4:$AW$14,11,FALSE)</f>
        <v>104525</v>
      </c>
      <c r="AE9" s="78">
        <f>HLOOKUP(_xlfn.CONCAT(TEXT(AE8,"MMMM YYYYY"), " Water Billed Volume (CCF)"),DR_1!$B$4:$AW$14,11,FALSE)</f>
        <v>133521</v>
      </c>
      <c r="AF9" s="78">
        <f>HLOOKUP(_xlfn.CONCAT(TEXT(AF8,"MMMM YYYYY"), " Water Billed Volume (CCF)"),DR_1!$B$4:$AW$14,11,FALSE)</f>
        <v>145124</v>
      </c>
      <c r="AG9" s="78">
        <f>HLOOKUP(_xlfn.CONCAT(TEXT(AG8,"MMMM YYYYY"), " Water Billed Volume (CCF)"),DR_1!$B$4:$AW$14,11,FALSE)</f>
        <v>139438</v>
      </c>
      <c r="AH9" s="78">
        <f>HLOOKUP(_xlfn.CONCAT(TEXT(AH8,"MMMM YYYYY"), " Water Billed Volume (CCF)"),DR_1!$B$4:$AW$14,11,FALSE)</f>
        <v>157102</v>
      </c>
      <c r="AI9" s="78">
        <f>HLOOKUP(_xlfn.CONCAT(TEXT(AI8,"MMMM YYYYY"), " Water Billed Volume (CCF)"),DR_1!$B$4:$AW$14,11,FALSE)</f>
        <v>143634</v>
      </c>
      <c r="AJ9" s="78">
        <f>HLOOKUP(_xlfn.CONCAT(TEXT(AJ8,"MMMM YYYYY"), " Water Billed Volume (CCF)"),DR_1!$B$4:$AW$14,11,FALSE)</f>
        <v>152090</v>
      </c>
      <c r="AK9" s="78">
        <f>HLOOKUP(_xlfn.CONCAT(TEXT(AK8,"MMMM YYYYY"), " Water Billed Volume (CCF)"),DR_1!$B$4:$AW$14,11,FALSE)</f>
        <v>153625</v>
      </c>
      <c r="AL9" s="78">
        <f>HLOOKUP(_xlfn.CONCAT(TEXT(AL8,"MMMM YYYYY"), " Water Billed Volume (CCF)"),DR_1!$B$4:$AW$14,11,FALSE)</f>
        <v>159196</v>
      </c>
      <c r="AM9" s="78">
        <f>HLOOKUP(_xlfn.CONCAT(TEXT(AM8,"MMMM YYYYY"), " Water Billed Volume (CCF)"),DR_1!$B$4:$AW$14,11,FALSE)</f>
        <v>191298</v>
      </c>
      <c r="AN9" s="78">
        <f>HLOOKUP(_xlfn.CONCAT(TEXT(AN8,"MMMM YYYYY"), " Water Billed Volume (CCF)"),DR_1!$B$4:$AW$14,11,FALSE)</f>
        <v>295659</v>
      </c>
      <c r="AO9" s="78">
        <f>HLOOKUP(_xlfn.CONCAT(TEXT(AO8,"MMMM YYYYY"), " Water Billed Volume (CCF)"),DR_1!$B$4:$AW$14,11,FALSE)</f>
        <v>326158</v>
      </c>
      <c r="AP9" s="78">
        <f>HLOOKUP(_xlfn.CONCAT(TEXT(AP8,"MMMM YYYYY"), " Water Billed Volume (CCF)"),DR_1!$B$4:$AW$14,11,FALSE)</f>
        <v>364303</v>
      </c>
      <c r="AQ9" s="78">
        <f>HLOOKUP(_xlfn.CONCAT(TEXT(AQ8,"MMMM YYYYY"), " Water Billed Volume (CCF)"),DR_1!$B$4:$AW$14,11,FALSE)</f>
        <v>351988</v>
      </c>
      <c r="AR9" s="78">
        <f>HLOOKUP(_xlfn.CONCAT(TEXT(AR8,"MMMM YYYYY"), " Water Billed Volume (CCF)"),DR_1!$B$4:$AW$14,11,FALSE)</f>
        <v>379010</v>
      </c>
      <c r="AS9" s="78">
        <f>HLOOKUP(_xlfn.CONCAT(TEXT(AS8,"MMMM YYYYY"), " Water Billed Volume (CCF)"),DR_1!$B$4:$AW$14,11,FALSE)</f>
        <v>401513</v>
      </c>
      <c r="AT9" s="78">
        <f>HLOOKUP(_xlfn.CONCAT(TEXT(AT8,"MMMM YYYYY"), " Water Billed Volume (CCF)"),DR_1!$B$4:$AW$14,11,FALSE)</f>
        <v>422248</v>
      </c>
      <c r="AU9" s="78">
        <f>HLOOKUP(_xlfn.CONCAT(TEXT(AU8,"MMMM YYYYY"), " Water Billed Volume (CCF)"),DR_1!$B$4:$AW$14,11,FALSE)</f>
        <v>411732</v>
      </c>
      <c r="AV9" s="78">
        <f>HLOOKUP(_xlfn.CONCAT(TEXT(AV8,"MMMM YYYYY"), " Water Billed Volume (CCF)"),DR_1!$B$4:$AW$14,11,FALSE)</f>
        <v>360612</v>
      </c>
      <c r="AW9" s="107">
        <f>TRR_Summary!$B$5*AW5/100</f>
        <v>402422.89408957126</v>
      </c>
      <c r="AX9" s="107">
        <f>TRR_Summary!$B$5*AX5/100</f>
        <v>406447.12303046696</v>
      </c>
      <c r="AY9" s="107">
        <f>TRR_Summary!$B$5*AY5/100</f>
        <v>386124.7668789436</v>
      </c>
      <c r="AZ9" s="107">
        <f>TRR_Summary!$B$5*AZ5/100</f>
        <v>405431.00522289082</v>
      </c>
      <c r="BA9" s="107">
        <f>TRR_Summary!$B$5*BA5/100</f>
        <v>409485.31527511968</v>
      </c>
      <c r="BB9" s="107">
        <f>TRR_Summary!$B$5*BB5/100</f>
        <v>413580.16842787096</v>
      </c>
      <c r="BC9" s="107">
        <f>TRR_Summary!$B$5*BC5/100</f>
        <v>397036.96169075608</v>
      </c>
      <c r="BD9" s="107">
        <f>TRR_Summary!$B$5*BD5/100</f>
        <v>412918.44015838631</v>
      </c>
      <c r="BE9" s="107">
        <f>TRR_Summary!$B$5*BE5/100</f>
        <v>417047.62455997011</v>
      </c>
      <c r="BF9" s="107">
        <f>TRR_Summary!$B$5*BF5/100</f>
        <v>412877.14831437042</v>
      </c>
      <c r="BG9" s="107">
        <f>TRR_Summary!$B$5*BG5/100</f>
        <v>412877.14831437042</v>
      </c>
      <c r="BH9" s="107">
        <f>TRR_Summary!$B$5*BH5/100</f>
        <v>412877.14831437042</v>
      </c>
      <c r="BI9" s="107">
        <f>TRR_Summary!$B$5*BI5/100</f>
        <v>412877.14831437042</v>
      </c>
      <c r="BJ9" s="107">
        <f>TRR_Summary!$B$5*BJ5/100</f>
        <v>412877.14831437042</v>
      </c>
      <c r="BK9" s="107">
        <f>TRR_Summary!$B$5*BK5/100</f>
        <v>412877.14831437042</v>
      </c>
      <c r="BL9" s="107">
        <f>TRR_Summary!$B$5*BL5/100</f>
        <v>412877.14831437042</v>
      </c>
      <c r="BM9" s="107">
        <f>TRR_Summary!$B$5*BM5/100</f>
        <v>412877.14831437042</v>
      </c>
      <c r="BN9" s="107">
        <f>TRR_Summary!$B$5*BN5/100</f>
        <v>412877.14831437042</v>
      </c>
      <c r="BO9" s="107">
        <f>TRR_Summary!$B$5*BO5/100</f>
        <v>412877.14831437042</v>
      </c>
      <c r="BP9" s="107">
        <f>TRR_Summary!$B$5*BP5/100</f>
        <v>412877.14831437042</v>
      </c>
      <c r="BQ9" s="107">
        <f>TRR_Summary!$B$5*BQ5/100</f>
        <v>412877.14831437042</v>
      </c>
    </row>
    <row r="10" spans="1:69" s="95" customFormat="1" x14ac:dyDescent="0.2">
      <c r="A10" s="111" t="s">
        <v>52</v>
      </c>
      <c r="B10" s="133">
        <f t="shared" ref="B10:I10" si="21">B8</f>
        <v>44197</v>
      </c>
      <c r="C10" s="133">
        <f t="shared" si="21"/>
        <v>44228</v>
      </c>
      <c r="D10" s="133">
        <f t="shared" si="21"/>
        <v>44256</v>
      </c>
      <c r="E10" s="133">
        <f t="shared" si="21"/>
        <v>44287</v>
      </c>
      <c r="F10" s="133">
        <f t="shared" si="21"/>
        <v>44317</v>
      </c>
      <c r="G10" s="133">
        <f t="shared" si="21"/>
        <v>44348</v>
      </c>
      <c r="H10" s="133">
        <f t="shared" si="21"/>
        <v>44378</v>
      </c>
      <c r="I10" s="133">
        <f t="shared" si="21"/>
        <v>44409</v>
      </c>
      <c r="J10" s="133">
        <f t="shared" ref="J10:P10" si="22">J8</f>
        <v>44440</v>
      </c>
      <c r="K10" s="133">
        <f t="shared" si="22"/>
        <v>44470</v>
      </c>
      <c r="L10" s="133">
        <f t="shared" si="22"/>
        <v>44501</v>
      </c>
      <c r="M10" s="133">
        <f t="shared" si="22"/>
        <v>44531</v>
      </c>
      <c r="N10" s="133">
        <f t="shared" si="22"/>
        <v>44562</v>
      </c>
      <c r="O10" s="133">
        <f>O8</f>
        <v>44593</v>
      </c>
      <c r="P10" s="133">
        <f t="shared" si="22"/>
        <v>44621</v>
      </c>
      <c r="Q10" s="133">
        <f t="shared" ref="Q10:AG10" si="23">Q8</f>
        <v>44652</v>
      </c>
      <c r="R10" s="133">
        <f t="shared" si="23"/>
        <v>44682</v>
      </c>
      <c r="S10" s="133">
        <f t="shared" si="23"/>
        <v>44713</v>
      </c>
      <c r="T10" s="133">
        <f t="shared" si="23"/>
        <v>44743</v>
      </c>
      <c r="U10" s="133">
        <f t="shared" si="23"/>
        <v>44774</v>
      </c>
      <c r="V10" s="133">
        <f t="shared" si="23"/>
        <v>44805</v>
      </c>
      <c r="W10" s="133">
        <f t="shared" si="23"/>
        <v>44835</v>
      </c>
      <c r="X10" s="133">
        <f t="shared" si="23"/>
        <v>44866</v>
      </c>
      <c r="Y10" s="133">
        <f t="shared" si="23"/>
        <v>44896</v>
      </c>
      <c r="Z10" s="133">
        <f t="shared" si="23"/>
        <v>44927</v>
      </c>
      <c r="AA10" s="133">
        <f t="shared" si="23"/>
        <v>44958</v>
      </c>
      <c r="AB10" s="133">
        <f t="shared" si="23"/>
        <v>44986</v>
      </c>
      <c r="AC10" s="133">
        <f t="shared" si="23"/>
        <v>45017</v>
      </c>
      <c r="AD10" s="133">
        <f t="shared" si="23"/>
        <v>45047</v>
      </c>
      <c r="AE10" s="133">
        <f t="shared" si="23"/>
        <v>45078</v>
      </c>
      <c r="AF10" s="133">
        <f t="shared" si="23"/>
        <v>45108</v>
      </c>
      <c r="AG10" s="133">
        <f t="shared" si="23"/>
        <v>45139</v>
      </c>
      <c r="AH10" s="133">
        <f t="shared" ref="AH10:BQ10" si="24">AH8</f>
        <v>45170</v>
      </c>
      <c r="AI10" s="133">
        <f t="shared" si="24"/>
        <v>45200</v>
      </c>
      <c r="AJ10" s="133">
        <f t="shared" si="24"/>
        <v>45231</v>
      </c>
      <c r="AK10" s="130">
        <f t="shared" si="24"/>
        <v>45261</v>
      </c>
      <c r="AL10" s="130">
        <f t="shared" ref="AL10:AM10" si="25">AL8</f>
        <v>45292</v>
      </c>
      <c r="AM10" s="130">
        <f t="shared" si="25"/>
        <v>45323</v>
      </c>
      <c r="AN10" s="130">
        <f t="shared" si="24"/>
        <v>45352</v>
      </c>
      <c r="AO10" s="130">
        <f t="shared" si="24"/>
        <v>45383</v>
      </c>
      <c r="AP10" s="130">
        <f t="shared" si="24"/>
        <v>45413</v>
      </c>
      <c r="AQ10" s="130">
        <f t="shared" si="24"/>
        <v>45444</v>
      </c>
      <c r="AR10" s="130">
        <f t="shared" si="24"/>
        <v>45474</v>
      </c>
      <c r="AS10" s="130">
        <f t="shared" si="24"/>
        <v>45505</v>
      </c>
      <c r="AT10" s="130">
        <f t="shared" si="24"/>
        <v>45536</v>
      </c>
      <c r="AU10" s="130">
        <f t="shared" si="24"/>
        <v>45566</v>
      </c>
      <c r="AV10" s="130">
        <f t="shared" si="24"/>
        <v>45597</v>
      </c>
      <c r="AW10" s="130">
        <f t="shared" si="24"/>
        <v>45627</v>
      </c>
      <c r="AX10" s="130">
        <f t="shared" si="24"/>
        <v>45658</v>
      </c>
      <c r="AY10" s="130">
        <f t="shared" si="24"/>
        <v>45689</v>
      </c>
      <c r="AZ10" s="130">
        <f t="shared" si="24"/>
        <v>45717</v>
      </c>
      <c r="BA10" s="130">
        <f t="shared" si="24"/>
        <v>45748</v>
      </c>
      <c r="BB10" s="130">
        <f t="shared" si="24"/>
        <v>45778</v>
      </c>
      <c r="BC10" s="130">
        <f t="shared" si="24"/>
        <v>45809</v>
      </c>
      <c r="BD10" s="130">
        <f t="shared" si="24"/>
        <v>45839</v>
      </c>
      <c r="BE10" s="130">
        <f t="shared" si="24"/>
        <v>45870</v>
      </c>
      <c r="BF10" s="130">
        <f t="shared" si="24"/>
        <v>45901</v>
      </c>
      <c r="BG10" s="130">
        <f t="shared" si="24"/>
        <v>45931</v>
      </c>
      <c r="BH10" s="130">
        <f t="shared" si="24"/>
        <v>45962</v>
      </c>
      <c r="BI10" s="130">
        <f t="shared" si="24"/>
        <v>45992</v>
      </c>
      <c r="BJ10" s="130">
        <f t="shared" si="24"/>
        <v>46023</v>
      </c>
      <c r="BK10" s="130">
        <f t="shared" si="24"/>
        <v>46054</v>
      </c>
      <c r="BL10" s="130">
        <f t="shared" si="24"/>
        <v>46082</v>
      </c>
      <c r="BM10" s="130">
        <f t="shared" si="24"/>
        <v>46113</v>
      </c>
      <c r="BN10" s="130">
        <f t="shared" si="24"/>
        <v>46143</v>
      </c>
      <c r="BO10" s="130">
        <f t="shared" si="24"/>
        <v>46174</v>
      </c>
      <c r="BP10" s="130">
        <f t="shared" si="24"/>
        <v>46204</v>
      </c>
      <c r="BQ10" s="130">
        <f t="shared" si="24"/>
        <v>46235</v>
      </c>
    </row>
    <row r="11" spans="1:69" x14ac:dyDescent="0.2">
      <c r="A11" s="113" t="s">
        <v>36</v>
      </c>
      <c r="B11" s="114">
        <f>HLOOKUP(_xlfn.CONCAT(TEXT(B10,"MMMM YYYYY"), " Sewer Billed Volume (CCF)"),DR_2!$B$4:$AW$14,11,FALSE)</f>
        <v>117956</v>
      </c>
      <c r="C11" s="114">
        <f>HLOOKUP(_xlfn.CONCAT(TEXT(C10,"MMMM YYYYY"), " Sewer Billed Volume (CCF)"),DR_2!$B$4:$AW$14,11,FALSE)</f>
        <v>116114</v>
      </c>
      <c r="D11" s="114">
        <f>HLOOKUP(_xlfn.CONCAT(TEXT(D10,"MMMM YYYYY"), " Sewer Billed Volume (CCF)"),DR_2!$B$4:$AW$14,11,FALSE)</f>
        <v>118618</v>
      </c>
      <c r="E11" s="114">
        <f>HLOOKUP(_xlfn.CONCAT(TEXT(E10,"MMMM YYYYY"), " Sewer Billed Volume (CCF)"),DR_2!$B$4:$AW$14,11,FALSE)</f>
        <v>127312</v>
      </c>
      <c r="F11" s="114">
        <f>HLOOKUP(_xlfn.CONCAT(TEXT(F10,"MMMM YYYYY"), " Sewer Billed Volume (CCF)"),DR_2!$B$4:$AW$14,11,FALSE)</f>
        <v>110718</v>
      </c>
      <c r="G11" s="114">
        <f>HLOOKUP(_xlfn.CONCAT(TEXT(G10,"MMMM YYYYY"), " Sewer Billed Volume (CCF)"),DR_2!$B$4:$AW$14,11,FALSE)</f>
        <v>116831</v>
      </c>
      <c r="H11" s="114">
        <f>HLOOKUP(_xlfn.CONCAT(TEXT(H10,"MMMM YYYYY"), " Sewer Billed Volume (CCF)"),DR_2!$B$4:$AW$14,11,FALSE)</f>
        <v>129728</v>
      </c>
      <c r="I11" s="114">
        <f>HLOOKUP(_xlfn.CONCAT(TEXT(I10,"MMMM YYYYY"), " Sewer Billed Volume (CCF)"),DR_2!$B$4:$AW$14,11,FALSE)</f>
        <v>126632</v>
      </c>
      <c r="J11" s="114">
        <f>HLOOKUP(_xlfn.CONCAT(TEXT(J10,"MMMM YYYYY"), " Sewer Billed Volume (CCF)"),DR_2!$B$4:$AW$14,11,FALSE)</f>
        <v>126626</v>
      </c>
      <c r="K11" s="114">
        <f>HLOOKUP(_xlfn.CONCAT(TEXT(K10,"MMMM YYYYY"), " Sewer Billed Volume (CCF)"),DR_2!$B$4:$AW$14,11,FALSE)</f>
        <v>136485</v>
      </c>
      <c r="L11" s="114">
        <f>HLOOKUP(_xlfn.CONCAT(TEXT(L10,"MMMM YYYYY"), " Sewer Billed Volume (CCF)"),DR_2!$B$4:$AW$14,11,FALSE)</f>
        <v>121644</v>
      </c>
      <c r="M11" s="114">
        <f>HLOOKUP(_xlfn.CONCAT(TEXT(M10,"MMMM YYYYY"), " Sewer Billed Volume (CCF)"),DR_2!$B$4:$AW$14,11,FALSE)</f>
        <v>119900</v>
      </c>
      <c r="N11" s="114">
        <f>HLOOKUP(_xlfn.CONCAT(TEXT(N10,"MMMM YYYYY"), " Sewer Billed Volume (CCF)"),DR_2!$B$4:$AW$14,11,FALSE)</f>
        <v>115041</v>
      </c>
      <c r="O11" s="114">
        <f>HLOOKUP(_xlfn.CONCAT(TEXT(O10,"MMMM YYYYY"), " Sewer Billed Volume (CCF)"),DR_2!$B$4:$AW$14,11,FALSE)</f>
        <v>91954</v>
      </c>
      <c r="P11" s="114">
        <f>HLOOKUP(_xlfn.CONCAT(TEXT(P10,"MMMM YYYYY"), " Sewer Billed Volume (CCF)"),DR_2!$B$4:$AW$14,11,FALSE)</f>
        <v>90373</v>
      </c>
      <c r="Q11" s="114">
        <f>HLOOKUP(_xlfn.CONCAT(TEXT(Q10,"MMMM YYYYY"), " Sewer Billed Volume (CCF)"),DR_2!$B$4:$AW$14,11,FALSE)</f>
        <v>74117</v>
      </c>
      <c r="R11" s="114">
        <f>HLOOKUP(_xlfn.CONCAT(TEXT(R10,"MMMM YYYYY"), " Sewer Billed Volume (CCF)"),DR_2!$B$4:$AW$14,11,FALSE)</f>
        <v>69737</v>
      </c>
      <c r="S11" s="114">
        <f>HLOOKUP(_xlfn.CONCAT(TEXT(S10,"MMMM YYYYY"), " Sewer Billed Volume (CCF)"),DR_2!$B$4:$AW$14,11,FALSE)</f>
        <v>72225</v>
      </c>
      <c r="T11" s="114">
        <f>HLOOKUP(_xlfn.CONCAT(TEXT(T10,"MMMM YYYYY"), " Sewer Billed Volume (CCF)"),DR_2!$B$4:$AW$14,11,FALSE)</f>
        <v>81024</v>
      </c>
      <c r="U11" s="114">
        <f>HLOOKUP(_xlfn.CONCAT(TEXT(U10,"MMMM YYYYY"), " Sewer Billed Volume (CCF)"),DR_2!$B$4:$AW$14,11,FALSE)</f>
        <v>87666</v>
      </c>
      <c r="V11" s="114">
        <f>HLOOKUP(_xlfn.CONCAT(TEXT(V10,"MMMM YYYYY"), " Sewer Billed Volume (CCF)"),DR_2!$B$4:$AW$14,11,FALSE)</f>
        <v>110492</v>
      </c>
      <c r="W11" s="114">
        <f>HLOOKUP(_xlfn.CONCAT(TEXT(W10,"MMMM YYYYY"), " Sewer Billed Volume (CCF)"),DR_2!$B$4:$AW$14,11,FALSE)</f>
        <v>102819</v>
      </c>
      <c r="X11" s="114">
        <f>HLOOKUP(_xlfn.CONCAT(TEXT(X10,"MMMM YYYYY"), " Sewer Billed Volume (CCF)"),DR_2!$B$4:$AW$14,11,FALSE)</f>
        <v>99814</v>
      </c>
      <c r="Y11" s="114">
        <f>HLOOKUP(_xlfn.CONCAT(TEXT(Y10,"MMMM YYYYY"), " Sewer Billed Volume (CCF)"),DR_2!$B$4:$AW$14,11,FALSE)</f>
        <v>106835</v>
      </c>
      <c r="Z11" s="114">
        <f>HLOOKUP(_xlfn.CONCAT(TEXT(Z10,"MMMM YYYYY"), " Sewer Billed Volume (CCF)"),DR_2!$B$4:$AW$14,11,FALSE)</f>
        <v>120214</v>
      </c>
      <c r="AA11" s="114">
        <f>HLOOKUP(_xlfn.CONCAT(TEXT(AA10,"MMMM YYYYY"), " Sewer Billed Volume (CCF)"),DR_2!$B$4:$AW$14,11,FALSE)</f>
        <v>95609</v>
      </c>
      <c r="AB11" s="114">
        <f>HLOOKUP(_xlfn.CONCAT(TEXT(AB10,"MMMM YYYYY"), " Sewer Billed Volume (CCF)"),DR_2!$B$4:$AW$14,11,FALSE)</f>
        <v>118348</v>
      </c>
      <c r="AC11" s="114">
        <f>HLOOKUP(_xlfn.CONCAT(TEXT(AC10,"MMMM YYYYY"), " Sewer Billed Volume (CCF)"),DR_2!$B$4:$AW$14,11,FALSE)</f>
        <v>99108</v>
      </c>
      <c r="AD11" s="114">
        <f>HLOOKUP(_xlfn.CONCAT(TEXT(AD10,"MMMM YYYYY"), " Sewer Billed Volume (CCF)"),DR_2!$B$4:$AW$14,11,FALSE)</f>
        <v>104514</v>
      </c>
      <c r="AE11" s="114">
        <f>HLOOKUP(_xlfn.CONCAT(TEXT(AE10,"MMMM YYYYY"), " Sewer Billed Volume (CCF)"),DR_2!$B$4:$AW$14,11,FALSE)</f>
        <v>133499</v>
      </c>
      <c r="AF11" s="114">
        <f>HLOOKUP(_xlfn.CONCAT(TEXT(AF10,"MMMM YYYYY"), " Sewer Billed Volume (CCF)"),DR_2!$B$4:$AW$14,11,FALSE)</f>
        <v>145107</v>
      </c>
      <c r="AG11" s="114">
        <f>HLOOKUP(_xlfn.CONCAT(TEXT(AG10,"MMMM YYYYY"), " Sewer Billed Volume (CCF)"),DR_2!$B$4:$AW$14,11,FALSE)</f>
        <v>139399</v>
      </c>
      <c r="AH11" s="114">
        <f>HLOOKUP(_xlfn.CONCAT(TEXT(AH10,"MMMM YYYYY"), " Sewer Billed Volume (CCF)"),DR_2!$B$4:$AW$14,11,FALSE)</f>
        <v>157059</v>
      </c>
      <c r="AI11" s="114">
        <f>HLOOKUP(_xlfn.CONCAT(TEXT(AI10,"MMMM YYYYY"), " Sewer Billed Volume (CCF)"),DR_2!$B$4:$AW$14,11,FALSE)</f>
        <v>143572</v>
      </c>
      <c r="AJ11" s="114">
        <f>HLOOKUP(_xlfn.CONCAT(TEXT(AJ10,"MMMM YYYYY"), " Sewer Billed Volume (CCF)"),DR_2!$B$4:$AW$14,11,FALSE)</f>
        <v>152045</v>
      </c>
      <c r="AK11" s="114">
        <f>HLOOKUP(_xlfn.CONCAT(TEXT(AK10,"MMMM YYYYY"), " Sewer Billed Volume (CCF)"),DR_2!$B$4:$AW$14,11,FALSE)</f>
        <v>153575</v>
      </c>
      <c r="AL11" s="114">
        <f>HLOOKUP(_xlfn.CONCAT(TEXT(AL10,"MMMM YYYYY"), " Sewer Billed Volume (CCF)"),DR_2!$B$4:$AW$14,11,FALSE)</f>
        <v>159148</v>
      </c>
      <c r="AM11" s="114">
        <f>HLOOKUP(_xlfn.CONCAT(TEXT(AM10,"MMMM YYYYY"), " Sewer Billed Volume (CCF)"),DR_2!$B$4:$AW$14,11,FALSE)</f>
        <v>191224</v>
      </c>
      <c r="AN11" s="114">
        <f>HLOOKUP(_xlfn.CONCAT(TEXT(AN10,"MMMM YYYYY"), " Sewer Billed Volume (CCF)"),DR_2!$B$4:$AW$14,11,FALSE)</f>
        <v>295463</v>
      </c>
      <c r="AO11" s="114">
        <f>HLOOKUP(_xlfn.CONCAT(TEXT(AO10,"MMMM YYYYY"), " Sewer Billed Volume (CCF)"),DR_2!$B$4:$AW$14,11,FALSE)</f>
        <v>325874</v>
      </c>
      <c r="AP11" s="114">
        <f>HLOOKUP(_xlfn.CONCAT(TEXT(AP10,"MMMM YYYYY"), " Sewer Billed Volume (CCF)"),DR_2!$B$4:$AW$14,11,FALSE)</f>
        <v>364001</v>
      </c>
      <c r="AQ11" s="114">
        <f>HLOOKUP(_xlfn.CONCAT(TEXT(AQ10,"MMMM YYYYY"), " Sewer Billed Volume (CCF)"),DR_2!$B$4:$AW$14,11,FALSE)</f>
        <v>351660</v>
      </c>
      <c r="AR11" s="114">
        <f>HLOOKUP(_xlfn.CONCAT(TEXT(AR10,"MMMM YYYYY"), " Sewer Billed Volume (CCF)"),DR_2!$B$4:$AW$14,11,FALSE)</f>
        <v>378585</v>
      </c>
      <c r="AS11" s="114">
        <f>HLOOKUP(_xlfn.CONCAT(TEXT(AS10,"MMMM YYYYY"), " Sewer Billed Volume (CCF)"),DR_2!$B$4:$AW$14,11,FALSE)</f>
        <v>401093</v>
      </c>
      <c r="AT11" s="114">
        <f>HLOOKUP(_xlfn.CONCAT(TEXT(AT10,"MMMM YYYYY"), " Sewer Billed Volume (CCF)"),DR_2!$B$4:$AW$14,11,FALSE)</f>
        <v>421902</v>
      </c>
      <c r="AU11" s="114">
        <f>HLOOKUP(_xlfn.CONCAT(TEXT(AU10,"MMMM YYYYY"), " Sewer Billed Volume (CCF)"),DR_2!$B$4:$AW$14,11,FALSE)</f>
        <v>411356</v>
      </c>
      <c r="AV11" s="114">
        <f>HLOOKUP(_xlfn.CONCAT(TEXT(AV10,"MMMM YYYYY"), " Sewer Billed Volume (CCF)"),DR_2!$B$4:$AW$14,11,FALSE)</f>
        <v>360271</v>
      </c>
      <c r="AW11" s="115">
        <f>TRR_Summary!$B$5*AW5/100</f>
        <v>402422.89408957126</v>
      </c>
      <c r="AX11" s="115">
        <f>TRR_Summary!$B$5*AX5/100</f>
        <v>406447.12303046696</v>
      </c>
      <c r="AY11" s="115">
        <f>TRR_Summary!$B$5*AY5/100</f>
        <v>386124.7668789436</v>
      </c>
      <c r="AZ11" s="115">
        <f>TRR_Summary!$B$5*AZ5/100</f>
        <v>405431.00522289082</v>
      </c>
      <c r="BA11" s="115">
        <f>TRR_Summary!$B$5*BA5/100</f>
        <v>409485.31527511968</v>
      </c>
      <c r="BB11" s="115">
        <f>TRR_Summary!$B$5*BB5/100</f>
        <v>413580.16842787096</v>
      </c>
      <c r="BC11" s="115">
        <f>TRR_Summary!$B$5*BC5/100</f>
        <v>397036.96169075608</v>
      </c>
      <c r="BD11" s="115">
        <f>TRR_Summary!$B$5*BD5/100</f>
        <v>412918.44015838631</v>
      </c>
      <c r="BE11" s="115">
        <f>TRR_Summary!$B$5*BE5/100</f>
        <v>417047.62455997011</v>
      </c>
      <c r="BF11" s="115">
        <f>TRR_Summary!$B$5*BF5/100</f>
        <v>412877.14831437042</v>
      </c>
      <c r="BG11" s="115">
        <f>TRR_Summary!$B$5*BG5/100</f>
        <v>412877.14831437042</v>
      </c>
      <c r="BH11" s="115">
        <f>TRR_Summary!$B$5*BH5/100</f>
        <v>412877.14831437042</v>
      </c>
      <c r="BI11" s="115">
        <f>TRR_Summary!$B$5*BI5/100</f>
        <v>412877.14831437042</v>
      </c>
      <c r="BJ11" s="115">
        <f>TRR_Summary!$B$5*BJ5/100</f>
        <v>412877.14831437042</v>
      </c>
      <c r="BK11" s="115">
        <f>TRR_Summary!$B$5*BK5/100</f>
        <v>412877.14831437042</v>
      </c>
      <c r="BL11" s="115">
        <f>TRR_Summary!$B$5*BL5/100</f>
        <v>412877.14831437042</v>
      </c>
      <c r="BM11" s="115">
        <f>TRR_Summary!$B$5*BM5/100</f>
        <v>412877.14831437042</v>
      </c>
      <c r="BN11" s="115">
        <f>TRR_Summary!$B$5*BN5/100</f>
        <v>412877.14831437042</v>
      </c>
      <c r="BO11" s="115">
        <f>TRR_Summary!$B$5*BO5/100</f>
        <v>412877.14831437042</v>
      </c>
      <c r="BP11" s="115">
        <f>TRR_Summary!$B$5*BP5/100</f>
        <v>412877.14831437042</v>
      </c>
      <c r="BQ11" s="115">
        <f>TRR_Summary!$B$5*BQ5/100</f>
        <v>412877.14831437042</v>
      </c>
    </row>
    <row r="12" spans="1:69" x14ac:dyDescent="0.2">
      <c r="B12" s="157"/>
      <c r="C12" s="39">
        <f t="shared" ref="C12:AK12" si="26">1-B5/C5</f>
        <v>2.2203895197614676E-2</v>
      </c>
      <c r="D12" s="39">
        <f t="shared" si="26"/>
        <v>5.1450234685280982E-2</v>
      </c>
      <c r="E12" s="39">
        <f t="shared" si="26"/>
        <v>3.8364704471886002E-3</v>
      </c>
      <c r="F12" s="39">
        <f t="shared" si="26"/>
        <v>1.3170498084291715E-3</v>
      </c>
      <c r="G12" s="39">
        <f t="shared" si="26"/>
        <v>-2.5207057976233127E-3</v>
      </c>
      <c r="H12" s="39">
        <f t="shared" si="26"/>
        <v>2.036415908001965E-3</v>
      </c>
      <c r="I12" s="39">
        <f t="shared" si="26"/>
        <v>-3.9083638987433833E-3</v>
      </c>
      <c r="J12" s="39">
        <f t="shared" si="26"/>
        <v>-5.3795463185907888E-2</v>
      </c>
      <c r="K12" s="39">
        <f t="shared" si="26"/>
        <v>6.70371246157484E-2</v>
      </c>
      <c r="L12" s="39">
        <f t="shared" si="26"/>
        <v>1.8881283927306702E-3</v>
      </c>
      <c r="M12" s="39">
        <f t="shared" si="26"/>
        <v>6.0989913206661583E-3</v>
      </c>
      <c r="N12" s="39">
        <f t="shared" si="26"/>
        <v>-0.12517321016166272</v>
      </c>
      <c r="O12" s="39">
        <f t="shared" si="26"/>
        <v>-0.14308342133051744</v>
      </c>
      <c r="P12" s="39">
        <f t="shared" si="26"/>
        <v>-3.7808219178082192E-2</v>
      </c>
      <c r="Q12" s="39">
        <f t="shared" si="26"/>
        <v>-0.17309458218549123</v>
      </c>
      <c r="R12" s="39">
        <f t="shared" si="26"/>
        <v>-8.1107912240643287E-2</v>
      </c>
      <c r="S12" s="39">
        <f t="shared" si="26"/>
        <v>-6.4948041566745829E-3</v>
      </c>
      <c r="T12" s="39">
        <f t="shared" si="26"/>
        <v>7.9808753218094886E-2</v>
      </c>
      <c r="U12" s="39">
        <f t="shared" si="26"/>
        <v>9.2608042716502581E-2</v>
      </c>
      <c r="V12" s="39">
        <f t="shared" si="26"/>
        <v>8.139178418148374E-2</v>
      </c>
      <c r="W12" s="39">
        <f t="shared" si="26"/>
        <v>4.5640725570509022E-2</v>
      </c>
      <c r="X12" s="39">
        <f t="shared" si="26"/>
        <v>3.7115289809141472E-2</v>
      </c>
      <c r="Y12" s="39">
        <f t="shared" si="26"/>
        <v>2.6599026530472303E-2</v>
      </c>
      <c r="Z12" s="39">
        <f t="shared" si="26"/>
        <v>2.3300970873786353E-2</v>
      </c>
      <c r="AA12" s="39">
        <f t="shared" si="26"/>
        <v>-7.0302422244517659E-2</v>
      </c>
      <c r="AB12" s="39">
        <f t="shared" si="26"/>
        <v>0.10292510446801673</v>
      </c>
      <c r="AC12" s="39">
        <f t="shared" si="26"/>
        <v>-5.0942503884872536E-2</v>
      </c>
      <c r="AD12" s="39">
        <f t="shared" si="26"/>
        <v>9.3742346313984815E-2</v>
      </c>
      <c r="AE12" s="39">
        <f t="shared" si="26"/>
        <v>0.11340318115194614</v>
      </c>
      <c r="AF12" s="39">
        <f t="shared" si="26"/>
        <v>3.1136590753694793E-2</v>
      </c>
      <c r="AG12" s="39">
        <f t="shared" si="26"/>
        <v>2.9701454452666476E-2</v>
      </c>
      <c r="AH12" s="39">
        <f t="shared" si="26"/>
        <v>2.4396315658451573E-2</v>
      </c>
      <c r="AI12" s="39">
        <f t="shared" si="26"/>
        <v>2.914733178654294E-2</v>
      </c>
      <c r="AJ12" s="39">
        <f t="shared" si="26"/>
        <v>2.1566401816118019E-2</v>
      </c>
      <c r="AK12" s="39">
        <f t="shared" si="26"/>
        <v>1.2608573830204528E-2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</row>
    <row r="13" spans="1:69" x14ac:dyDescent="0.2">
      <c r="AK13" s="175"/>
      <c r="AL13" s="75"/>
      <c r="AM13" s="75"/>
      <c r="AN13" s="39"/>
      <c r="AO13" s="75"/>
      <c r="AP13" s="75"/>
      <c r="AQ13" s="75"/>
      <c r="AR13" s="75"/>
      <c r="AS13" s="159"/>
      <c r="AT13" s="159"/>
      <c r="AU13" s="159"/>
      <c r="AV13" s="159"/>
    </row>
    <row r="14" spans="1:69" x14ac:dyDescent="0.2">
      <c r="AK14" s="75"/>
    </row>
    <row r="15" spans="1:69" x14ac:dyDescent="0.2">
      <c r="AL15" s="75"/>
    </row>
    <row r="17" spans="38:47" x14ac:dyDescent="0.2">
      <c r="AQ17" s="33"/>
    </row>
    <row r="18" spans="38:47" ht="15.75" customHeight="1" x14ac:dyDescent="0.2">
      <c r="AL18" s="5"/>
      <c r="AM18" s="5"/>
      <c r="AN18" s="5"/>
      <c r="AO18" s="5"/>
      <c r="AP18" s="5"/>
      <c r="AQ18" s="5"/>
      <c r="AR18" s="5"/>
    </row>
    <row r="19" spans="38:47" x14ac:dyDescent="0.2">
      <c r="AN19" s="75"/>
      <c r="AQ19" s="75"/>
    </row>
    <row r="20" spans="38:47" x14ac:dyDescent="0.2">
      <c r="AL20" s="75"/>
      <c r="AQ20" s="75"/>
    </row>
    <row r="22" spans="38:47" x14ac:dyDescent="0.2">
      <c r="AL22" s="5"/>
    </row>
    <row r="23" spans="38:47" x14ac:dyDescent="0.2">
      <c r="AQ23" s="137"/>
      <c r="AU23" s="135"/>
    </row>
    <row r="24" spans="38:47" x14ac:dyDescent="0.2">
      <c r="AT24" s="134"/>
      <c r="AU24" s="135"/>
    </row>
    <row r="25" spans="38:47" x14ac:dyDescent="0.2">
      <c r="AQ25" s="75"/>
      <c r="AU25" s="135"/>
    </row>
    <row r="26" spans="38:47" x14ac:dyDescent="0.2">
      <c r="AQ26" s="75"/>
      <c r="AT26" s="134"/>
      <c r="AU26" s="135"/>
    </row>
    <row r="27" spans="38:47" x14ac:dyDescent="0.2">
      <c r="AQ27" s="75"/>
      <c r="AU27" s="135"/>
    </row>
    <row r="28" spans="38:47" x14ac:dyDescent="0.2">
      <c r="AQ28" s="75"/>
      <c r="AT28" s="134"/>
      <c r="AU28" s="135"/>
    </row>
    <row r="29" spans="38:47" x14ac:dyDescent="0.2">
      <c r="AQ29" s="75"/>
      <c r="AR29" s="75"/>
      <c r="AU29" s="135"/>
    </row>
    <row r="30" spans="38:47" x14ac:dyDescent="0.2">
      <c r="AQ30" s="136"/>
      <c r="AT30" s="134"/>
      <c r="AU30" s="135"/>
    </row>
    <row r="31" spans="38:47" x14ac:dyDescent="0.2">
      <c r="AU31" s="135"/>
    </row>
    <row r="32" spans="38:47" x14ac:dyDescent="0.2">
      <c r="AT32" s="134"/>
      <c r="AU32" s="135"/>
    </row>
    <row r="33" spans="46:47" x14ac:dyDescent="0.2">
      <c r="AU33" s="135"/>
    </row>
    <row r="34" spans="46:47" x14ac:dyDescent="0.2">
      <c r="AT34" s="134"/>
      <c r="AU34" s="135"/>
    </row>
    <row r="35" spans="46:47" x14ac:dyDescent="0.2">
      <c r="AU35" s="135"/>
    </row>
    <row r="36" spans="46:47" x14ac:dyDescent="0.2">
      <c r="AT36" s="134"/>
      <c r="AU36" s="135"/>
    </row>
  </sheetData>
  <conditionalFormatting sqref="B4:BQ4 B6:BQ6 B8:BQ8 B10:BQ10">
    <cfRule type="expression" dxfId="0" priority="1">
      <formula>B$2="Actual"</formula>
    </cfRule>
  </conditionalFormatting>
  <pageMargins left="0.7" right="0.7" top="0.75" bottom="0.75" header="0.3" footer="0.3"/>
  <pageSetup fitToWidth="0" fitToHeight="0" orientation="landscape" r:id="rId1"/>
  <headerFooter>
    <oddHeader>&amp;L2025 TAP Reconcilable Rider Reports and Projection Model: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2:AO9"/>
  <sheetViews>
    <sheetView workbookViewId="0">
      <selection activeCell="H27" sqref="H27"/>
    </sheetView>
  </sheetViews>
  <sheetFormatPr defaultColWidth="8.7421875" defaultRowHeight="15" x14ac:dyDescent="0.2"/>
  <cols>
    <col min="2" max="2" width="12.23828125" customWidth="1"/>
    <col min="3" max="3" width="11.56640625" customWidth="1"/>
    <col min="4" max="4" width="7.6640625" customWidth="1"/>
    <col min="10" max="10" width="4.16796875" customWidth="1"/>
    <col min="11" max="11" width="10.625" bestFit="1" customWidth="1"/>
  </cols>
  <sheetData>
    <row r="2" spans="1:41" x14ac:dyDescent="0.2">
      <c r="A2" s="14" t="s">
        <v>53</v>
      </c>
      <c r="K2" s="162">
        <v>45626</v>
      </c>
    </row>
    <row r="5" spans="1:41" x14ac:dyDescent="0.2">
      <c r="A5" t="s">
        <v>54</v>
      </c>
      <c r="C5" s="163" t="s">
        <v>55</v>
      </c>
      <c r="D5" t="s">
        <v>56</v>
      </c>
      <c r="E5" s="164" t="s">
        <v>57</v>
      </c>
    </row>
    <row r="7" spans="1:41" x14ac:dyDescent="0.2">
      <c r="AO7" t="s">
        <v>58</v>
      </c>
    </row>
    <row r="8" spans="1:4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6"/>
    </row>
    <row r="9" spans="1:41" x14ac:dyDescent="0.2">
      <c r="A9" s="165"/>
      <c r="B9" s="165"/>
      <c r="C9" s="167"/>
      <c r="D9" s="165"/>
      <c r="E9" s="168"/>
      <c r="F9" s="165"/>
      <c r="G9" s="165"/>
      <c r="H9" s="165"/>
      <c r="I9" s="165"/>
      <c r="J9" s="165"/>
      <c r="K9" s="165"/>
    </row>
  </sheetData>
  <pageMargins left="0.7" right="0.7" top="0.75" bottom="0.75" header="0.3" footer="0.3"/>
  <pageSetup orientation="landscape" r:id="rId1"/>
  <headerFooter>
    <oddHeader>&amp;L2025 TAP Reconcilable Rider Reports and Projection Model: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W20"/>
  <sheetViews>
    <sheetView topLeftCell="I1" zoomScale="55" zoomScaleNormal="55" workbookViewId="0">
      <selection activeCell="AC25" sqref="AC25:AC26"/>
    </sheetView>
  </sheetViews>
  <sheetFormatPr defaultColWidth="8.7421875" defaultRowHeight="15" x14ac:dyDescent="0.2"/>
  <cols>
    <col min="1" max="1" width="31.07421875" customWidth="1"/>
    <col min="2" max="2" width="29.99609375" customWidth="1"/>
    <col min="3" max="37" width="12.5078125" customWidth="1"/>
    <col min="38" max="38" width="12.64453125" customWidth="1"/>
    <col min="39" max="39" width="15.6015625" customWidth="1"/>
    <col min="40" max="41" width="10.625" bestFit="1" customWidth="1"/>
    <col min="42" max="42" width="10.76171875" customWidth="1"/>
    <col min="43" max="43" width="10.89453125" customWidth="1"/>
    <col min="44" max="44" width="11.296875" customWidth="1"/>
    <col min="45" max="45" width="11.703125" customWidth="1"/>
    <col min="46" max="46" width="12.10546875" customWidth="1"/>
    <col min="47" max="47" width="11.56640625" customWidth="1"/>
    <col min="48" max="48" width="10.35546875" customWidth="1"/>
    <col min="49" max="49" width="10.76171875" customWidth="1"/>
  </cols>
  <sheetData>
    <row r="1" spans="1:49" x14ac:dyDescent="0.2">
      <c r="A1" s="178" t="str">
        <f>"DR-1: Water Billed Volume"</f>
        <v>DR-1: Water Billed Volume</v>
      </c>
      <c r="B1" s="179"/>
      <c r="C1" s="179"/>
      <c r="D1" s="179"/>
      <c r="E1" s="179"/>
      <c r="F1" s="179"/>
      <c r="G1" s="179"/>
      <c r="H1" s="179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x14ac:dyDescent="0.2">
      <c r="A2" s="86"/>
      <c r="B2" s="87"/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v>2021</v>
      </c>
      <c r="N2" s="87">
        <f>IF(N3=1,M2+1,M2)</f>
        <v>2021</v>
      </c>
      <c r="O2" s="87">
        <f t="shared" ref="O2:R2" si="0">IF(O3=1,N2+1,N2)</f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ref="S2" si="1">IF(S3=1,R2+1,R2)</f>
        <v>2022</v>
      </c>
      <c r="T2" s="87">
        <f t="shared" ref="T2" si="2">IF(T3=1,S2+1,S2)</f>
        <v>2022</v>
      </c>
      <c r="U2" s="87">
        <f t="shared" ref="U2" si="3">IF(U3=1,T2+1,T2)</f>
        <v>2022</v>
      </c>
      <c r="V2" s="87">
        <f t="shared" ref="V2" si="4">IF(V3=1,U2+1,U2)</f>
        <v>2022</v>
      </c>
      <c r="W2" s="87">
        <f t="shared" ref="W2" si="5">IF(W3=1,V2+1,V2)</f>
        <v>2022</v>
      </c>
      <c r="X2" s="87">
        <f t="shared" ref="X2" si="6">IF(X3=1,W2+1,W2)</f>
        <v>2022</v>
      </c>
      <c r="Y2" s="87">
        <f t="shared" ref="Y2:Z2" si="7">IF(Y3=1,X2+1,X2)</f>
        <v>2022</v>
      </c>
      <c r="Z2" s="87">
        <f t="shared" si="7"/>
        <v>2022</v>
      </c>
      <c r="AA2" s="87">
        <f t="shared" ref="AA2" si="8">IF(AA3=1,Z2+1,Z2)</f>
        <v>2023</v>
      </c>
      <c r="AB2" s="87">
        <f t="shared" ref="AB2" si="9">IF(AB3=1,AA2+1,AA2)</f>
        <v>2023</v>
      </c>
      <c r="AC2" s="87">
        <f t="shared" ref="AC2" si="10">IF(AC3=1,AB2+1,AB2)</f>
        <v>2023</v>
      </c>
      <c r="AD2" s="87">
        <f t="shared" ref="AD2" si="11">IF(AD3=1,AC2+1,AC2)</f>
        <v>2023</v>
      </c>
      <c r="AE2" s="87">
        <f t="shared" ref="AE2" si="12">IF(AE3=1,AD2+1,AD2)</f>
        <v>2023</v>
      </c>
      <c r="AF2" s="87">
        <f t="shared" ref="AF2" si="13">IF(AF3=1,AE2+1,AE2)</f>
        <v>2023</v>
      </c>
      <c r="AG2" s="87">
        <f t="shared" ref="AG2" si="14">IF(AG3=1,AF2+1,AF2)</f>
        <v>2023</v>
      </c>
      <c r="AH2" s="87">
        <f t="shared" ref="AH2" si="15">IF(AH3=1,AG2+1,AG2)</f>
        <v>2023</v>
      </c>
      <c r="AI2" s="87">
        <f t="shared" ref="AI2" si="16">IF(AI3=1,AH2+1,AH2)</f>
        <v>2023</v>
      </c>
      <c r="AJ2" s="87">
        <f t="shared" ref="AJ2" si="17">IF(AJ3=1,AI2+1,AI2)</f>
        <v>2023</v>
      </c>
      <c r="AK2" s="87">
        <f t="shared" ref="AK2:AO2" si="18">IF(AK3=1,AJ2+1,AJ2)</f>
        <v>2023</v>
      </c>
      <c r="AL2" s="87">
        <f t="shared" si="18"/>
        <v>2023</v>
      </c>
      <c r="AM2" s="87">
        <f t="shared" si="18"/>
        <v>2024</v>
      </c>
      <c r="AN2" s="87">
        <f t="shared" si="18"/>
        <v>2024</v>
      </c>
      <c r="AO2" s="87">
        <f t="shared" si="18"/>
        <v>2024</v>
      </c>
      <c r="AP2" s="87">
        <f t="shared" ref="AP2" si="19">IF(AP3=1,AO2+1,AO2)</f>
        <v>2024</v>
      </c>
      <c r="AQ2" s="87">
        <f t="shared" ref="AQ2" si="20">IF(AQ3=1,AP2+1,AP2)</f>
        <v>2024</v>
      </c>
      <c r="AR2" s="87">
        <f t="shared" ref="AR2" si="21">IF(AR3=1,AQ2+1,AQ2)</f>
        <v>2024</v>
      </c>
      <c r="AS2" s="87">
        <f t="shared" ref="AS2" si="22">IF(AS3=1,AR2+1,AR2)</f>
        <v>2024</v>
      </c>
      <c r="AT2" s="87">
        <f t="shared" ref="AT2" si="23">IF(AT3=1,AS2+1,AS2)</f>
        <v>2024</v>
      </c>
      <c r="AU2" s="87">
        <f t="shared" ref="AU2" si="24">IF(AU3=1,AT2+1,AT2)</f>
        <v>2024</v>
      </c>
      <c r="AV2" s="87">
        <f t="shared" ref="AV2" si="25">IF(AV3=1,AU2+1,AU2)</f>
        <v>2024</v>
      </c>
      <c r="AW2" s="87">
        <f t="shared" ref="AW2" si="26">IF(AW3=1,AV2+1,AV2)</f>
        <v>2024</v>
      </c>
    </row>
    <row r="3" spans="1:49" x14ac:dyDescent="0.2">
      <c r="A3" s="86"/>
      <c r="B3" s="87"/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f>IF(M3&lt;12,M3+1,1)</f>
        <v>12</v>
      </c>
      <c r="O3" s="87">
        <f t="shared" ref="O3:R3" si="27">IF(N3&lt;12,N3+1,1)</f>
        <v>1</v>
      </c>
      <c r="P3" s="87">
        <f t="shared" si="27"/>
        <v>2</v>
      </c>
      <c r="Q3" s="87">
        <f t="shared" si="27"/>
        <v>3</v>
      </c>
      <c r="R3" s="87">
        <f t="shared" si="27"/>
        <v>4</v>
      </c>
      <c r="S3" s="87">
        <f t="shared" ref="S3:T3" si="28">IF(R3&lt;12,R3+1,1)</f>
        <v>5</v>
      </c>
      <c r="T3" s="87">
        <f t="shared" si="28"/>
        <v>6</v>
      </c>
      <c r="U3" s="87">
        <f t="shared" ref="U3" si="29">IF(T3&lt;12,T3+1,1)</f>
        <v>7</v>
      </c>
      <c r="V3" s="87">
        <f t="shared" ref="V3" si="30">IF(U3&lt;12,U3+1,1)</f>
        <v>8</v>
      </c>
      <c r="W3" s="87">
        <f t="shared" ref="W3" si="31">IF(V3&lt;12,V3+1,1)</f>
        <v>9</v>
      </c>
      <c r="X3" s="87">
        <f t="shared" ref="X3" si="32">IF(W3&lt;12,W3+1,1)</f>
        <v>10</v>
      </c>
      <c r="Y3" s="87">
        <f t="shared" ref="Y3:Z3" si="33">IF(X3&lt;12,X3+1,1)</f>
        <v>11</v>
      </c>
      <c r="Z3" s="87">
        <f t="shared" si="33"/>
        <v>12</v>
      </c>
      <c r="AA3" s="87">
        <f t="shared" ref="AA3" si="34">IF(Z3&lt;12,Z3+1,1)</f>
        <v>1</v>
      </c>
      <c r="AB3" s="87">
        <f t="shared" ref="AB3" si="35">IF(AA3&lt;12,AA3+1,1)</f>
        <v>2</v>
      </c>
      <c r="AC3" s="87">
        <f t="shared" ref="AC3" si="36">IF(AB3&lt;12,AB3+1,1)</f>
        <v>3</v>
      </c>
      <c r="AD3" s="87">
        <f t="shared" ref="AD3" si="37">IF(AC3&lt;12,AC3+1,1)</f>
        <v>4</v>
      </c>
      <c r="AE3" s="87">
        <f t="shared" ref="AE3" si="38">IF(AD3&lt;12,AD3+1,1)</f>
        <v>5</v>
      </c>
      <c r="AF3" s="87">
        <f t="shared" ref="AF3" si="39">IF(AE3&lt;12,AE3+1,1)</f>
        <v>6</v>
      </c>
      <c r="AG3" s="87">
        <f t="shared" ref="AG3" si="40">IF(AF3&lt;12,AF3+1,1)</f>
        <v>7</v>
      </c>
      <c r="AH3" s="87">
        <f t="shared" ref="AH3" si="41">IF(AG3&lt;12,AG3+1,1)</f>
        <v>8</v>
      </c>
      <c r="AI3" s="87">
        <f t="shared" ref="AI3" si="42">IF(AH3&lt;12,AH3+1,1)</f>
        <v>9</v>
      </c>
      <c r="AJ3" s="87">
        <f t="shared" ref="AJ3" si="43">IF(AI3&lt;12,AI3+1,1)</f>
        <v>10</v>
      </c>
      <c r="AK3" s="87">
        <f t="shared" ref="AK3:AO3" si="44">IF(AJ3&lt;12,AJ3+1,1)</f>
        <v>11</v>
      </c>
      <c r="AL3" s="87">
        <f t="shared" si="44"/>
        <v>12</v>
      </c>
      <c r="AM3" s="87">
        <f t="shared" si="44"/>
        <v>1</v>
      </c>
      <c r="AN3" s="87">
        <f t="shared" si="44"/>
        <v>2</v>
      </c>
      <c r="AO3" s="87">
        <f t="shared" si="44"/>
        <v>3</v>
      </c>
      <c r="AP3" s="87">
        <f t="shared" ref="AP3" si="45">IF(AO3&lt;12,AO3+1,1)</f>
        <v>4</v>
      </c>
      <c r="AQ3" s="87">
        <f t="shared" ref="AQ3" si="46">IF(AP3&lt;12,AP3+1,1)</f>
        <v>5</v>
      </c>
      <c r="AR3" s="87">
        <f t="shared" ref="AR3" si="47">IF(AQ3&lt;12,AQ3+1,1)</f>
        <v>6</v>
      </c>
      <c r="AS3" s="87">
        <f t="shared" ref="AS3" si="48">IF(AR3&lt;12,AR3+1,1)</f>
        <v>7</v>
      </c>
      <c r="AT3" s="87">
        <f t="shared" ref="AT3" si="49">IF(AS3&lt;12,AS3+1,1)</f>
        <v>8</v>
      </c>
      <c r="AU3" s="87">
        <f t="shared" ref="AU3" si="50">IF(AT3&lt;12,AT3+1,1)</f>
        <v>9</v>
      </c>
      <c r="AV3" s="87">
        <f t="shared" ref="AV3" si="51">IF(AU3&lt;12,AU3+1,1)</f>
        <v>10</v>
      </c>
      <c r="AW3" s="87">
        <f t="shared" ref="AW3" si="52">IF(AV3&lt;12,AV3+1,1)</f>
        <v>11</v>
      </c>
    </row>
    <row r="4" spans="1:49" ht="84.75" customHeight="1" x14ac:dyDescent="0.2">
      <c r="A4" s="76" t="s">
        <v>59</v>
      </c>
      <c r="B4" s="77" t="s">
        <v>60</v>
      </c>
      <c r="C4" s="85" t="str">
        <f>TEXT(C3*29, "Mmmm")&amp;" "&amp;C2&amp;" Water Billed Volume (CCF)"</f>
        <v>January 2021 Water Billed Volume (CCF)</v>
      </c>
      <c r="D4" s="85" t="str">
        <f t="shared" ref="D4:H4" si="53">TEXT(D3*29, "Mmmm")&amp;" "&amp;D2&amp;" Water Billed Volume (CCF)"</f>
        <v>February 2021 Water Billed Volume (CCF)</v>
      </c>
      <c r="E4" s="85" t="str">
        <f t="shared" si="53"/>
        <v>March 2021 Water Billed Volume (CCF)</v>
      </c>
      <c r="F4" s="85" t="str">
        <f t="shared" si="53"/>
        <v>April 2021 Water Billed Volume (CCF)</v>
      </c>
      <c r="G4" s="85" t="str">
        <f t="shared" si="53"/>
        <v>May 2021 Water Billed Volume (CCF)</v>
      </c>
      <c r="H4" s="85" t="str">
        <f t="shared" si="53"/>
        <v>June 2021 Water Billed Volume (CCF)</v>
      </c>
      <c r="I4" s="85" t="str">
        <f t="shared" ref="I4:N4" si="54">TEXT(I3*29, "Mmmm")&amp;" "&amp;I2&amp;" Water Billed Volume (CCF)"</f>
        <v>July 2021 Water Billed Volume (CCF)</v>
      </c>
      <c r="J4" s="85" t="str">
        <f t="shared" si="54"/>
        <v>August 2021 Water Billed Volume (CCF)</v>
      </c>
      <c r="K4" s="85" t="str">
        <f t="shared" si="54"/>
        <v>September 2021 Water Billed Volume (CCF)</v>
      </c>
      <c r="L4" s="85" t="str">
        <f t="shared" si="54"/>
        <v>October 2021 Water Billed Volume (CCF)</v>
      </c>
      <c r="M4" s="85" t="str">
        <f t="shared" si="54"/>
        <v>November 2021 Water Billed Volume (CCF)</v>
      </c>
      <c r="N4" s="85" t="str">
        <f t="shared" si="54"/>
        <v>December 2021 Water Billed Volume (CCF)</v>
      </c>
      <c r="O4" s="85" t="str">
        <f t="shared" ref="O4:R4" si="55">TEXT(O3*29, "Mmmm")&amp;" "&amp;O2&amp;" Water Billed Volume (CCF)"</f>
        <v>January 2022 Water Billed Volume (CCF)</v>
      </c>
      <c r="P4" s="85" t="str">
        <f t="shared" si="55"/>
        <v>February 2022 Water Billed Volume (CCF)</v>
      </c>
      <c r="Q4" s="85" t="str">
        <f t="shared" si="55"/>
        <v>March 2022 Water Billed Volume (CCF)</v>
      </c>
      <c r="R4" s="85" t="str">
        <f t="shared" si="55"/>
        <v>April 2022 Water Billed Volume (CCF)</v>
      </c>
      <c r="S4" s="85" t="str">
        <f t="shared" ref="S4:T4" si="56">TEXT(S3*29, "Mmmm")&amp;" "&amp;S2&amp;" Water Billed Volume (CCF)"</f>
        <v>May 2022 Water Billed Volume (CCF)</v>
      </c>
      <c r="T4" s="85" t="str">
        <f t="shared" si="56"/>
        <v>June 2022 Water Billed Volume (CCF)</v>
      </c>
      <c r="U4" s="85" t="str">
        <f t="shared" ref="U4:Y4" si="57">TEXT(U3*29, "Mmmm")&amp;" "&amp;U2&amp;" Water Billed Volume (CCF)"</f>
        <v>July 2022 Water Billed Volume (CCF)</v>
      </c>
      <c r="V4" s="85" t="str">
        <f t="shared" si="57"/>
        <v>August 2022 Water Billed Volume (CCF)</v>
      </c>
      <c r="W4" s="85" t="str">
        <f t="shared" si="57"/>
        <v>September 2022 Water Billed Volume (CCF)</v>
      </c>
      <c r="X4" s="85" t="str">
        <f t="shared" si="57"/>
        <v>October 2022 Water Billed Volume (CCF)</v>
      </c>
      <c r="Y4" s="85" t="str">
        <f t="shared" si="57"/>
        <v>November 2022 Water Billed Volume (CCF)</v>
      </c>
      <c r="Z4" s="85" t="str">
        <f t="shared" ref="Z4:AK4" si="58">TEXT(Z3*29, "Mmmm")&amp;" "&amp;Z2&amp;" Water Billed Volume (CCF)"</f>
        <v>December 2022 Water Billed Volume (CCF)</v>
      </c>
      <c r="AA4" s="85" t="str">
        <f t="shared" si="58"/>
        <v>January 2023 Water Billed Volume (CCF)</v>
      </c>
      <c r="AB4" s="85" t="str">
        <f t="shared" si="58"/>
        <v>February 2023 Water Billed Volume (CCF)</v>
      </c>
      <c r="AC4" s="85" t="str">
        <f t="shared" si="58"/>
        <v>March 2023 Water Billed Volume (CCF)</v>
      </c>
      <c r="AD4" s="85" t="str">
        <f t="shared" si="58"/>
        <v>April 2023 Water Billed Volume (CCF)</v>
      </c>
      <c r="AE4" s="85" t="str">
        <f t="shared" si="58"/>
        <v>May 2023 Water Billed Volume (CCF)</v>
      </c>
      <c r="AF4" s="85" t="str">
        <f t="shared" si="58"/>
        <v>June 2023 Water Billed Volume (CCF)</v>
      </c>
      <c r="AG4" s="85" t="str">
        <f t="shared" si="58"/>
        <v>July 2023 Water Billed Volume (CCF)</v>
      </c>
      <c r="AH4" s="85" t="str">
        <f t="shared" si="58"/>
        <v>August 2023 Water Billed Volume (CCF)</v>
      </c>
      <c r="AI4" s="85" t="str">
        <f t="shared" si="58"/>
        <v>September 2023 Water Billed Volume (CCF)</v>
      </c>
      <c r="AJ4" s="85" t="str">
        <f t="shared" si="58"/>
        <v>October 2023 Water Billed Volume (CCF)</v>
      </c>
      <c r="AK4" s="85" t="str">
        <f t="shared" si="58"/>
        <v>November 2023 Water Billed Volume (CCF)</v>
      </c>
      <c r="AL4" s="85" t="str">
        <f t="shared" ref="AL4:AM4" si="59">TEXT(AL3*29, "Mmmm")&amp;" "&amp;AL2&amp;" Water Billed Volume (CCF)"</f>
        <v>December 2023 Water Billed Volume (CCF)</v>
      </c>
      <c r="AM4" s="85" t="str">
        <f t="shared" si="59"/>
        <v>January 2024 Water Billed Volume (CCF)</v>
      </c>
      <c r="AN4" s="85" t="str">
        <f t="shared" ref="AN4:AW4" si="60">TEXT(AN3*29, "Mmmm")&amp;" "&amp;AN2&amp;" Water Billed Volume (CCF)"</f>
        <v>February 2024 Water Billed Volume (CCF)</v>
      </c>
      <c r="AO4" s="85" t="str">
        <f t="shared" si="60"/>
        <v>March 2024 Water Billed Volume (CCF)</v>
      </c>
      <c r="AP4" s="85" t="str">
        <f t="shared" si="60"/>
        <v>April 2024 Water Billed Volume (CCF)</v>
      </c>
      <c r="AQ4" s="85" t="str">
        <f t="shared" si="60"/>
        <v>May 2024 Water Billed Volume (CCF)</v>
      </c>
      <c r="AR4" s="85" t="str">
        <f t="shared" si="60"/>
        <v>June 2024 Water Billed Volume (CCF)</v>
      </c>
      <c r="AS4" s="85" t="str">
        <f t="shared" si="60"/>
        <v>July 2024 Water Billed Volume (CCF)</v>
      </c>
      <c r="AT4" s="85" t="str">
        <f t="shared" si="60"/>
        <v>August 2024 Water Billed Volume (CCF)</v>
      </c>
      <c r="AU4" s="85" t="str">
        <f t="shared" si="60"/>
        <v>September 2024 Water Billed Volume (CCF)</v>
      </c>
      <c r="AV4" s="85" t="str">
        <f t="shared" si="60"/>
        <v>October 2024 Water Billed Volume (CCF)</v>
      </c>
      <c r="AW4" s="85" t="str">
        <f t="shared" si="60"/>
        <v>November 2024 Water Billed Volume (CCF)</v>
      </c>
    </row>
    <row r="5" spans="1:49" x14ac:dyDescent="0.2">
      <c r="A5" s="6" t="s">
        <v>61</v>
      </c>
      <c r="B5" s="84" t="s">
        <v>62</v>
      </c>
      <c r="C5" s="96">
        <v>118010</v>
      </c>
      <c r="D5" s="96">
        <v>116161</v>
      </c>
      <c r="E5" s="96">
        <v>118666</v>
      </c>
      <c r="F5" s="96">
        <v>127351</v>
      </c>
      <c r="G5" s="96">
        <v>110763</v>
      </c>
      <c r="H5" s="96">
        <v>116870</v>
      </c>
      <c r="I5" s="96">
        <v>129780</v>
      </c>
      <c r="J5" s="96">
        <v>126667</v>
      </c>
      <c r="K5" s="96">
        <v>126653</v>
      </c>
      <c r="L5" s="96">
        <v>136521</v>
      </c>
      <c r="M5" s="96">
        <v>121673</v>
      </c>
      <c r="N5" s="96">
        <v>119924</v>
      </c>
      <c r="O5" s="96">
        <v>115052</v>
      </c>
      <c r="P5" s="96">
        <v>91963</v>
      </c>
      <c r="Q5" s="96">
        <v>90386</v>
      </c>
      <c r="R5" s="96">
        <v>74126</v>
      </c>
      <c r="S5" s="96">
        <v>69737</v>
      </c>
      <c r="T5" s="96">
        <v>72226</v>
      </c>
      <c r="U5" s="96">
        <v>81031</v>
      </c>
      <c r="V5" s="96">
        <v>87678</v>
      </c>
      <c r="W5" s="96">
        <v>110502</v>
      </c>
      <c r="X5" s="96">
        <v>102826</v>
      </c>
      <c r="Y5" s="96">
        <v>99826</v>
      </c>
      <c r="Z5" s="96">
        <v>106855</v>
      </c>
      <c r="AA5" s="96">
        <v>120230</v>
      </c>
      <c r="AB5" s="96">
        <v>95619</v>
      </c>
      <c r="AC5" s="96">
        <v>118362</v>
      </c>
      <c r="AD5" s="96">
        <v>99122</v>
      </c>
      <c r="AE5" s="96">
        <v>104525</v>
      </c>
      <c r="AF5" s="96">
        <v>133521</v>
      </c>
      <c r="AG5" s="96">
        <v>145124</v>
      </c>
      <c r="AH5" s="96">
        <v>139438</v>
      </c>
      <c r="AI5" s="96">
        <v>157102</v>
      </c>
      <c r="AJ5" s="96">
        <v>143634</v>
      </c>
      <c r="AK5" s="96">
        <v>152090</v>
      </c>
      <c r="AL5" s="96">
        <v>153625</v>
      </c>
      <c r="AM5" s="161">
        <v>159196</v>
      </c>
      <c r="AN5" s="161">
        <v>191298</v>
      </c>
      <c r="AO5" s="161">
        <v>295659</v>
      </c>
      <c r="AP5" s="161">
        <v>326158</v>
      </c>
      <c r="AQ5" s="161">
        <v>364303</v>
      </c>
      <c r="AR5" s="161">
        <v>351988</v>
      </c>
      <c r="AS5" s="161">
        <v>379010</v>
      </c>
      <c r="AT5" s="161">
        <v>401513</v>
      </c>
      <c r="AU5" s="161">
        <v>422248</v>
      </c>
      <c r="AV5" s="161">
        <v>411732</v>
      </c>
      <c r="AW5" s="161">
        <v>360612</v>
      </c>
    </row>
    <row r="6" spans="1:49" x14ac:dyDescent="0.2">
      <c r="A6" s="6" t="s">
        <v>63</v>
      </c>
      <c r="B6" s="6" t="s">
        <v>64</v>
      </c>
      <c r="C6" s="15">
        <v>73931</v>
      </c>
      <c r="D6" s="15">
        <v>71541</v>
      </c>
      <c r="E6" s="15">
        <v>74895</v>
      </c>
      <c r="F6" s="15">
        <v>77645</v>
      </c>
      <c r="G6" s="15">
        <v>67586</v>
      </c>
      <c r="H6" s="15">
        <v>72691</v>
      </c>
      <c r="I6" s="15">
        <v>80055</v>
      </c>
      <c r="J6" s="15">
        <v>78630</v>
      </c>
      <c r="K6" s="15">
        <v>79210</v>
      </c>
      <c r="L6" s="15">
        <v>80511</v>
      </c>
      <c r="M6" s="15">
        <v>72462</v>
      </c>
      <c r="N6" s="15">
        <v>72959</v>
      </c>
      <c r="O6" s="15">
        <v>82370</v>
      </c>
      <c r="P6" s="15">
        <v>73599</v>
      </c>
      <c r="Q6" s="15">
        <v>83660</v>
      </c>
      <c r="R6" s="15">
        <v>85935</v>
      </c>
      <c r="S6" s="15">
        <v>81796</v>
      </c>
      <c r="T6" s="15">
        <v>86063</v>
      </c>
      <c r="U6" s="15">
        <v>90767</v>
      </c>
      <c r="V6" s="15">
        <v>82871</v>
      </c>
      <c r="W6" s="15">
        <v>91786</v>
      </c>
      <c r="X6" s="15">
        <v>80137</v>
      </c>
      <c r="Y6" s="15">
        <v>78882</v>
      </c>
      <c r="Z6" s="15">
        <v>80670</v>
      </c>
      <c r="AA6" s="15">
        <v>86933</v>
      </c>
      <c r="AB6" s="15">
        <v>68990</v>
      </c>
      <c r="AC6" s="15">
        <v>84170</v>
      </c>
      <c r="AD6" s="15">
        <v>65297</v>
      </c>
      <c r="AE6" s="15">
        <v>66576</v>
      </c>
      <c r="AF6" s="15">
        <v>84541</v>
      </c>
      <c r="AG6" s="15">
        <v>78753</v>
      </c>
      <c r="AH6" s="15">
        <v>71480</v>
      </c>
      <c r="AI6" s="15">
        <v>78262</v>
      </c>
      <c r="AJ6" s="15">
        <v>68359</v>
      </c>
      <c r="AK6" s="15">
        <v>72422</v>
      </c>
      <c r="AL6" s="15">
        <v>69916</v>
      </c>
      <c r="AM6" s="15">
        <v>71268</v>
      </c>
      <c r="AN6" s="15">
        <v>64840</v>
      </c>
      <c r="AO6" s="15">
        <v>51881</v>
      </c>
      <c r="AP6" s="15">
        <v>49460</v>
      </c>
      <c r="AQ6" s="15">
        <v>52302</v>
      </c>
      <c r="AR6" s="15">
        <v>51885</v>
      </c>
      <c r="AS6" s="15">
        <v>55153</v>
      </c>
      <c r="AT6" s="15">
        <v>55698</v>
      </c>
      <c r="AU6" s="15">
        <v>56210</v>
      </c>
      <c r="AV6" s="15">
        <v>51909</v>
      </c>
      <c r="AW6" s="15">
        <v>46416</v>
      </c>
    </row>
    <row r="7" spans="1:49" x14ac:dyDescent="0.2">
      <c r="A7" s="6" t="s">
        <v>63</v>
      </c>
      <c r="B7" s="6" t="s">
        <v>65</v>
      </c>
      <c r="C7" s="15">
        <v>121108</v>
      </c>
      <c r="D7" s="15">
        <v>119129</v>
      </c>
      <c r="E7" s="15">
        <v>111145</v>
      </c>
      <c r="F7" s="15">
        <v>122569</v>
      </c>
      <c r="G7" s="15">
        <v>111778</v>
      </c>
      <c r="H7" s="15">
        <v>114787</v>
      </c>
      <c r="I7" s="15">
        <v>130978</v>
      </c>
      <c r="J7" s="15">
        <v>127781</v>
      </c>
      <c r="K7" s="15">
        <v>131279</v>
      </c>
      <c r="L7" s="15">
        <v>130148</v>
      </c>
      <c r="M7" s="15">
        <v>121477</v>
      </c>
      <c r="N7" s="15">
        <v>122899</v>
      </c>
      <c r="O7" s="15">
        <v>138099</v>
      </c>
      <c r="P7" s="15">
        <v>123270</v>
      </c>
      <c r="Q7" s="15">
        <v>124902</v>
      </c>
      <c r="R7" s="15">
        <v>135846</v>
      </c>
      <c r="S7" s="15">
        <v>117926</v>
      </c>
      <c r="T7" s="15">
        <v>130568</v>
      </c>
      <c r="U7" s="15">
        <v>138644</v>
      </c>
      <c r="V7" s="15">
        <v>134247</v>
      </c>
      <c r="W7" s="15">
        <v>304688</v>
      </c>
      <c r="X7" s="15">
        <v>147645</v>
      </c>
      <c r="Y7" s="15">
        <v>122275</v>
      </c>
      <c r="Z7" s="15">
        <v>141034</v>
      </c>
      <c r="AA7" s="15">
        <v>148016</v>
      </c>
      <c r="AB7" s="15">
        <v>123843</v>
      </c>
      <c r="AC7" s="15">
        <v>125139</v>
      </c>
      <c r="AD7" s="15">
        <v>119334</v>
      </c>
      <c r="AE7" s="15">
        <v>106668</v>
      </c>
      <c r="AF7" s="15">
        <v>124816</v>
      </c>
      <c r="AG7" s="15">
        <v>128222</v>
      </c>
      <c r="AH7" s="15">
        <v>121416</v>
      </c>
      <c r="AI7" s="15">
        <v>129515</v>
      </c>
      <c r="AJ7" s="15">
        <v>115442</v>
      </c>
      <c r="AK7" s="15">
        <v>116963</v>
      </c>
      <c r="AL7" s="15">
        <v>117308</v>
      </c>
      <c r="AM7" s="15">
        <v>117422</v>
      </c>
      <c r="AN7" s="15">
        <v>115300</v>
      </c>
      <c r="AO7" s="15">
        <v>104612</v>
      </c>
      <c r="AP7" s="15">
        <v>105354</v>
      </c>
      <c r="AQ7" s="15">
        <v>106260</v>
      </c>
      <c r="AR7" s="15">
        <v>111693</v>
      </c>
      <c r="AS7" s="15">
        <v>122635</v>
      </c>
      <c r="AT7" s="15">
        <v>124528</v>
      </c>
      <c r="AU7" s="15">
        <v>122471</v>
      </c>
      <c r="AV7" s="15">
        <v>118869</v>
      </c>
      <c r="AW7" s="15">
        <v>116267</v>
      </c>
    </row>
    <row r="8" spans="1:49" x14ac:dyDescent="0.2">
      <c r="A8" s="6" t="s">
        <v>63</v>
      </c>
      <c r="B8" s="6" t="s">
        <v>66</v>
      </c>
      <c r="C8" s="15">
        <v>142773</v>
      </c>
      <c r="D8" s="15">
        <v>116155</v>
      </c>
      <c r="E8" s="15">
        <v>145945</v>
      </c>
      <c r="F8" s="15">
        <v>131941</v>
      </c>
      <c r="G8" s="15">
        <v>137706</v>
      </c>
      <c r="H8" s="15">
        <v>160670</v>
      </c>
      <c r="I8" s="15">
        <v>184410</v>
      </c>
      <c r="J8" s="15">
        <v>199416</v>
      </c>
      <c r="K8" s="15">
        <v>207943</v>
      </c>
      <c r="L8" s="15">
        <v>196704</v>
      </c>
      <c r="M8" s="15">
        <v>167288</v>
      </c>
      <c r="N8" s="15">
        <v>173368</v>
      </c>
      <c r="O8" s="15">
        <v>174779</v>
      </c>
      <c r="P8" s="15">
        <v>134668</v>
      </c>
      <c r="Q8" s="15">
        <v>184024</v>
      </c>
      <c r="R8" s="15">
        <v>162038</v>
      </c>
      <c r="S8" s="15">
        <v>205387</v>
      </c>
      <c r="T8" s="15">
        <v>182107</v>
      </c>
      <c r="U8" s="15">
        <v>191964</v>
      </c>
      <c r="V8" s="15">
        <v>219911</v>
      </c>
      <c r="W8" s="15">
        <v>268742</v>
      </c>
      <c r="X8" s="15">
        <v>182082</v>
      </c>
      <c r="Y8" s="15">
        <v>176502</v>
      </c>
      <c r="Z8" s="15">
        <v>155067</v>
      </c>
      <c r="AA8" s="15">
        <v>161434</v>
      </c>
      <c r="AB8" s="15">
        <v>139102</v>
      </c>
      <c r="AC8" s="15">
        <v>175941</v>
      </c>
      <c r="AD8" s="15">
        <v>168286</v>
      </c>
      <c r="AE8" s="15">
        <v>160149</v>
      </c>
      <c r="AF8" s="15">
        <v>191904</v>
      </c>
      <c r="AG8" s="15">
        <v>202119</v>
      </c>
      <c r="AH8" s="15">
        <v>187939</v>
      </c>
      <c r="AI8" s="15">
        <v>237437</v>
      </c>
      <c r="AJ8" s="15">
        <v>183061</v>
      </c>
      <c r="AK8" s="15">
        <v>183100</v>
      </c>
      <c r="AL8" s="15">
        <v>147683</v>
      </c>
      <c r="AM8" s="15">
        <v>144056</v>
      </c>
      <c r="AN8" s="15">
        <v>157402</v>
      </c>
      <c r="AO8" s="15">
        <v>146486</v>
      </c>
      <c r="AP8" s="15">
        <v>143711</v>
      </c>
      <c r="AQ8" s="15">
        <v>170509</v>
      </c>
      <c r="AR8" s="15">
        <v>173174</v>
      </c>
      <c r="AS8" s="15">
        <v>208645</v>
      </c>
      <c r="AT8" s="15">
        <v>208439</v>
      </c>
      <c r="AU8" s="15">
        <v>204335</v>
      </c>
      <c r="AV8" s="15">
        <v>188325</v>
      </c>
      <c r="AW8" s="15">
        <v>180009</v>
      </c>
    </row>
    <row r="9" spans="1:49" x14ac:dyDescent="0.2">
      <c r="A9" s="6" t="s">
        <v>63</v>
      </c>
      <c r="B9" s="13" t="s">
        <v>67</v>
      </c>
      <c r="C9" s="15">
        <v>3911680</v>
      </c>
      <c r="D9" s="15">
        <v>3838803</v>
      </c>
      <c r="E9" s="15">
        <v>4027491</v>
      </c>
      <c r="F9" s="15">
        <v>4250089</v>
      </c>
      <c r="G9" s="15">
        <v>4092371</v>
      </c>
      <c r="H9" s="15">
        <v>4305113</v>
      </c>
      <c r="I9" s="15">
        <v>4698406</v>
      </c>
      <c r="J9" s="15">
        <v>4645937</v>
      </c>
      <c r="K9" s="15">
        <v>4627337</v>
      </c>
      <c r="L9" s="15">
        <v>4732144</v>
      </c>
      <c r="M9" s="15">
        <v>4147546</v>
      </c>
      <c r="N9" s="15">
        <v>4185095</v>
      </c>
      <c r="O9" s="15">
        <v>4405758</v>
      </c>
      <c r="P9" s="15">
        <v>3849434</v>
      </c>
      <c r="Q9" s="15">
        <v>4244280</v>
      </c>
      <c r="R9" s="15">
        <v>4191883</v>
      </c>
      <c r="S9" s="15">
        <v>4001169</v>
      </c>
      <c r="T9" s="15">
        <v>4343391</v>
      </c>
      <c r="U9" s="15">
        <v>4630487</v>
      </c>
      <c r="V9" s="15">
        <v>4737150</v>
      </c>
      <c r="W9" s="15">
        <v>5174379</v>
      </c>
      <c r="X9" s="15">
        <v>4468404</v>
      </c>
      <c r="Y9" s="15">
        <v>4069351</v>
      </c>
      <c r="Z9" s="15">
        <v>4189163</v>
      </c>
      <c r="AA9" s="15">
        <v>4364730</v>
      </c>
      <c r="AB9" s="15">
        <v>3685823</v>
      </c>
      <c r="AC9" s="15">
        <v>4331417</v>
      </c>
      <c r="AD9" s="15">
        <v>3852864</v>
      </c>
      <c r="AE9" s="15">
        <v>3886163</v>
      </c>
      <c r="AF9" s="15">
        <v>4425371</v>
      </c>
      <c r="AG9" s="15">
        <v>4696905</v>
      </c>
      <c r="AH9" s="15">
        <v>4388996</v>
      </c>
      <c r="AI9" s="15">
        <v>4783300</v>
      </c>
      <c r="AJ9" s="15">
        <v>4034543</v>
      </c>
      <c r="AK9" s="15">
        <v>4053035</v>
      </c>
      <c r="AL9" s="15">
        <v>4081107</v>
      </c>
      <c r="AM9" s="15">
        <v>4194515</v>
      </c>
      <c r="AN9" s="15">
        <v>4012607</v>
      </c>
      <c r="AO9" s="15">
        <v>3705516</v>
      </c>
      <c r="AP9" s="15">
        <v>3651107</v>
      </c>
      <c r="AQ9" s="15">
        <v>4058766</v>
      </c>
      <c r="AR9" s="15">
        <v>4027642</v>
      </c>
      <c r="AS9" s="15">
        <v>4564710</v>
      </c>
      <c r="AT9" s="15">
        <v>4684044</v>
      </c>
      <c r="AU9" s="15">
        <v>4600911</v>
      </c>
      <c r="AV9" s="15">
        <v>4322674</v>
      </c>
      <c r="AW9" s="15">
        <v>4098132</v>
      </c>
    </row>
    <row r="10" spans="1:49" x14ac:dyDescent="0.2">
      <c r="A10" s="6" t="s">
        <v>68</v>
      </c>
      <c r="B10" s="6" t="s">
        <v>69</v>
      </c>
      <c r="C10" s="15">
        <v>124619</v>
      </c>
      <c r="D10" s="15">
        <v>172921</v>
      </c>
      <c r="E10" s="15">
        <v>232009</v>
      </c>
      <c r="F10" s="15">
        <v>180476</v>
      </c>
      <c r="G10" s="15">
        <v>245271</v>
      </c>
      <c r="H10" s="15">
        <v>223684</v>
      </c>
      <c r="I10" s="15">
        <v>240703</v>
      </c>
      <c r="J10" s="15">
        <v>286093</v>
      </c>
      <c r="K10" s="15">
        <v>758184</v>
      </c>
      <c r="L10" s="15">
        <v>285057</v>
      </c>
      <c r="M10" s="15">
        <v>270281</v>
      </c>
      <c r="N10" s="15">
        <v>233023</v>
      </c>
      <c r="O10" s="15">
        <v>276067</v>
      </c>
      <c r="P10" s="15">
        <v>218077</v>
      </c>
      <c r="Q10" s="15">
        <v>231170</v>
      </c>
      <c r="R10" s="15">
        <v>220719</v>
      </c>
      <c r="S10" s="15">
        <v>231564</v>
      </c>
      <c r="T10" s="15">
        <v>217192</v>
      </c>
      <c r="U10" s="15">
        <v>229856</v>
      </c>
      <c r="V10" s="15">
        <v>231147</v>
      </c>
      <c r="W10" s="15">
        <v>274965</v>
      </c>
      <c r="X10" s="15">
        <v>274862</v>
      </c>
      <c r="Y10" s="15">
        <v>223721</v>
      </c>
      <c r="Z10" s="15">
        <v>227338</v>
      </c>
      <c r="AA10" s="15">
        <v>212455</v>
      </c>
      <c r="AB10" s="15">
        <v>230409</v>
      </c>
      <c r="AC10" s="15">
        <v>264318</v>
      </c>
      <c r="AD10" s="15">
        <v>145287</v>
      </c>
      <c r="AE10" s="15">
        <v>251389</v>
      </c>
      <c r="AF10" s="15">
        <v>262730</v>
      </c>
      <c r="AG10" s="15">
        <v>278436</v>
      </c>
      <c r="AH10" s="15">
        <v>230151</v>
      </c>
      <c r="AI10" s="15">
        <v>300167</v>
      </c>
      <c r="AJ10" s="15">
        <v>222050</v>
      </c>
      <c r="AK10" s="15">
        <v>227503</v>
      </c>
      <c r="AL10" s="15">
        <v>267834</v>
      </c>
      <c r="AM10" s="15">
        <v>249868</v>
      </c>
      <c r="AN10" s="15">
        <v>209281</v>
      </c>
      <c r="AO10" s="15">
        <v>195178</v>
      </c>
      <c r="AP10" s="15">
        <v>187379</v>
      </c>
      <c r="AQ10" s="15">
        <v>338702</v>
      </c>
      <c r="AR10" s="15">
        <v>105040</v>
      </c>
      <c r="AS10" s="15">
        <v>211508</v>
      </c>
      <c r="AT10" s="15">
        <v>220240</v>
      </c>
      <c r="AU10" s="15">
        <v>261753</v>
      </c>
      <c r="AV10" s="15">
        <v>342304</v>
      </c>
      <c r="AW10" s="15">
        <v>151605</v>
      </c>
    </row>
    <row r="12" spans="1:49" x14ac:dyDescent="0.2">
      <c r="A12" s="176" t="s">
        <v>70</v>
      </c>
      <c r="B12" s="177"/>
      <c r="C12" s="177"/>
      <c r="D12" s="177"/>
      <c r="E12" s="177"/>
      <c r="F12" s="177"/>
      <c r="G12" s="177"/>
      <c r="H12" s="17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</row>
    <row r="13" spans="1:49" ht="81" x14ac:dyDescent="0.2">
      <c r="A13" s="79" t="s">
        <v>59</v>
      </c>
      <c r="C13" s="85" t="str">
        <f t="shared" ref="C13:H13" si="61">C4</f>
        <v>January 2021 Water Billed Volume (CCF)</v>
      </c>
      <c r="D13" s="85" t="str">
        <f t="shared" si="61"/>
        <v>February 2021 Water Billed Volume (CCF)</v>
      </c>
      <c r="E13" s="85" t="str">
        <f t="shared" si="61"/>
        <v>March 2021 Water Billed Volume (CCF)</v>
      </c>
      <c r="F13" s="85" t="str">
        <f t="shared" si="61"/>
        <v>April 2021 Water Billed Volume (CCF)</v>
      </c>
      <c r="G13" s="85" t="str">
        <f t="shared" si="61"/>
        <v>May 2021 Water Billed Volume (CCF)</v>
      </c>
      <c r="H13" s="85" t="str">
        <f t="shared" si="61"/>
        <v>June 2021 Water Billed Volume (CCF)</v>
      </c>
      <c r="I13" s="85" t="str">
        <f t="shared" ref="I13:N13" si="62">I4</f>
        <v>July 2021 Water Billed Volume (CCF)</v>
      </c>
      <c r="J13" s="85" t="str">
        <f t="shared" si="62"/>
        <v>August 2021 Water Billed Volume (CCF)</v>
      </c>
      <c r="K13" s="85" t="str">
        <f t="shared" si="62"/>
        <v>September 2021 Water Billed Volume (CCF)</v>
      </c>
      <c r="L13" s="85" t="str">
        <f t="shared" si="62"/>
        <v>October 2021 Water Billed Volume (CCF)</v>
      </c>
      <c r="M13" s="85" t="str">
        <f t="shared" si="62"/>
        <v>November 2021 Water Billed Volume (CCF)</v>
      </c>
      <c r="N13" s="85" t="str">
        <f t="shared" si="62"/>
        <v>December 2021 Water Billed Volume (CCF)</v>
      </c>
      <c r="O13" s="85" t="str">
        <f t="shared" ref="O13:R13" si="63">O4</f>
        <v>January 2022 Water Billed Volume (CCF)</v>
      </c>
      <c r="P13" s="85" t="str">
        <f t="shared" si="63"/>
        <v>February 2022 Water Billed Volume (CCF)</v>
      </c>
      <c r="Q13" s="85" t="str">
        <f t="shared" si="63"/>
        <v>March 2022 Water Billed Volume (CCF)</v>
      </c>
      <c r="R13" s="85" t="str">
        <f t="shared" si="63"/>
        <v>April 2022 Water Billed Volume (CCF)</v>
      </c>
      <c r="S13" s="85" t="str">
        <f t="shared" ref="S13:T13" si="64">S4</f>
        <v>May 2022 Water Billed Volume (CCF)</v>
      </c>
      <c r="T13" s="85" t="str">
        <f t="shared" si="64"/>
        <v>June 2022 Water Billed Volume (CCF)</v>
      </c>
      <c r="U13" s="85" t="str">
        <f t="shared" ref="U13:Y13" si="65">U4</f>
        <v>July 2022 Water Billed Volume (CCF)</v>
      </c>
      <c r="V13" s="85" t="str">
        <f t="shared" si="65"/>
        <v>August 2022 Water Billed Volume (CCF)</v>
      </c>
      <c r="W13" s="85" t="str">
        <f t="shared" si="65"/>
        <v>September 2022 Water Billed Volume (CCF)</v>
      </c>
      <c r="X13" s="85" t="str">
        <f t="shared" si="65"/>
        <v>October 2022 Water Billed Volume (CCF)</v>
      </c>
      <c r="Y13" s="85" t="str">
        <f t="shared" si="65"/>
        <v>November 2022 Water Billed Volume (CCF)</v>
      </c>
      <c r="Z13" s="85" t="str">
        <f t="shared" ref="Z13:AK13" si="66">Z4</f>
        <v>December 2022 Water Billed Volume (CCF)</v>
      </c>
      <c r="AA13" s="85" t="str">
        <f t="shared" si="66"/>
        <v>January 2023 Water Billed Volume (CCF)</v>
      </c>
      <c r="AB13" s="85" t="str">
        <f t="shared" si="66"/>
        <v>February 2023 Water Billed Volume (CCF)</v>
      </c>
      <c r="AC13" s="85" t="str">
        <f t="shared" si="66"/>
        <v>March 2023 Water Billed Volume (CCF)</v>
      </c>
      <c r="AD13" s="85" t="str">
        <f t="shared" si="66"/>
        <v>April 2023 Water Billed Volume (CCF)</v>
      </c>
      <c r="AE13" s="85" t="str">
        <f t="shared" si="66"/>
        <v>May 2023 Water Billed Volume (CCF)</v>
      </c>
      <c r="AF13" s="85" t="str">
        <f t="shared" si="66"/>
        <v>June 2023 Water Billed Volume (CCF)</v>
      </c>
      <c r="AG13" s="85" t="str">
        <f t="shared" si="66"/>
        <v>July 2023 Water Billed Volume (CCF)</v>
      </c>
      <c r="AH13" s="85" t="str">
        <f t="shared" si="66"/>
        <v>August 2023 Water Billed Volume (CCF)</v>
      </c>
      <c r="AI13" s="85" t="str">
        <f t="shared" si="66"/>
        <v>September 2023 Water Billed Volume (CCF)</v>
      </c>
      <c r="AJ13" s="85" t="str">
        <f t="shared" si="66"/>
        <v>October 2023 Water Billed Volume (CCF)</v>
      </c>
      <c r="AK13" s="85" t="str">
        <f t="shared" si="66"/>
        <v>November 2023 Water Billed Volume (CCF)</v>
      </c>
      <c r="AL13" s="85" t="str">
        <f t="shared" ref="AL13:AM13" si="67">AL4</f>
        <v>December 2023 Water Billed Volume (CCF)</v>
      </c>
      <c r="AM13" s="85" t="str">
        <f t="shared" si="67"/>
        <v>January 2024 Water Billed Volume (CCF)</v>
      </c>
      <c r="AN13" s="85" t="str">
        <f t="shared" ref="AN13:AO13" si="68">AN4</f>
        <v>February 2024 Water Billed Volume (CCF)</v>
      </c>
      <c r="AO13" s="85" t="str">
        <f t="shared" si="68"/>
        <v>March 2024 Water Billed Volume (CCF)</v>
      </c>
      <c r="AP13" s="85" t="str">
        <f t="shared" ref="AP13:AW13" si="69">AP4</f>
        <v>April 2024 Water Billed Volume (CCF)</v>
      </c>
      <c r="AQ13" s="85" t="str">
        <f t="shared" si="69"/>
        <v>May 2024 Water Billed Volume (CCF)</v>
      </c>
      <c r="AR13" s="85" t="str">
        <f t="shared" si="69"/>
        <v>June 2024 Water Billed Volume (CCF)</v>
      </c>
      <c r="AS13" s="85" t="str">
        <f t="shared" si="69"/>
        <v>July 2024 Water Billed Volume (CCF)</v>
      </c>
      <c r="AT13" s="85" t="str">
        <f t="shared" si="69"/>
        <v>August 2024 Water Billed Volume (CCF)</v>
      </c>
      <c r="AU13" s="85" t="str">
        <f t="shared" si="69"/>
        <v>September 2024 Water Billed Volume (CCF)</v>
      </c>
      <c r="AV13" s="85" t="str">
        <f t="shared" si="69"/>
        <v>October 2024 Water Billed Volume (CCF)</v>
      </c>
      <c r="AW13" s="85" t="str">
        <f t="shared" si="69"/>
        <v>November 2024 Water Billed Volume (CCF)</v>
      </c>
    </row>
    <row r="14" spans="1:49" x14ac:dyDescent="0.2">
      <c r="A14" s="6" t="s">
        <v>61</v>
      </c>
      <c r="C14" s="15">
        <f t="shared" ref="C14:I16" si="70">SUMIF($A$5:$A$10,$A14,C$5:C$10)</f>
        <v>118010</v>
      </c>
      <c r="D14" s="15">
        <f t="shared" si="70"/>
        <v>116161</v>
      </c>
      <c r="E14" s="15">
        <f t="shared" si="70"/>
        <v>118666</v>
      </c>
      <c r="F14" s="15">
        <f t="shared" si="70"/>
        <v>127351</v>
      </c>
      <c r="G14" s="15">
        <f t="shared" si="70"/>
        <v>110763</v>
      </c>
      <c r="H14" s="15">
        <f t="shared" si="70"/>
        <v>116870</v>
      </c>
      <c r="I14" s="15">
        <f t="shared" si="70"/>
        <v>129780</v>
      </c>
      <c r="J14" s="15">
        <f t="shared" ref="I14:X16" si="71">SUMIF($A$5:$A$10,$A14,J$5:J$10)</f>
        <v>126667</v>
      </c>
      <c r="K14" s="15">
        <f t="shared" si="71"/>
        <v>126653</v>
      </c>
      <c r="L14" s="15">
        <f t="shared" si="71"/>
        <v>136521</v>
      </c>
      <c r="M14" s="15">
        <f t="shared" si="71"/>
        <v>121673</v>
      </c>
      <c r="N14" s="15">
        <f t="shared" si="71"/>
        <v>119924</v>
      </c>
      <c r="O14" s="15">
        <f t="shared" si="71"/>
        <v>115052</v>
      </c>
      <c r="P14" s="15">
        <f t="shared" si="71"/>
        <v>91963</v>
      </c>
      <c r="Q14" s="15">
        <f t="shared" si="71"/>
        <v>90386</v>
      </c>
      <c r="R14" s="15">
        <f t="shared" si="71"/>
        <v>74126</v>
      </c>
      <c r="S14" s="15">
        <f t="shared" si="71"/>
        <v>69737</v>
      </c>
      <c r="T14" s="15">
        <f t="shared" si="71"/>
        <v>72226</v>
      </c>
      <c r="U14" s="15">
        <f t="shared" si="71"/>
        <v>81031</v>
      </c>
      <c r="V14" s="15">
        <f t="shared" si="71"/>
        <v>87678</v>
      </c>
      <c r="W14" s="15">
        <f t="shared" si="71"/>
        <v>110502</v>
      </c>
      <c r="X14" s="15">
        <f t="shared" si="71"/>
        <v>102826</v>
      </c>
      <c r="Y14" s="15">
        <f t="shared" ref="U14:AJ16" si="72">SUMIF($A$5:$A$10,$A14,Y$5:Y$10)</f>
        <v>99826</v>
      </c>
      <c r="Z14" s="15">
        <f t="shared" si="72"/>
        <v>106855</v>
      </c>
      <c r="AA14" s="15">
        <f t="shared" si="72"/>
        <v>120230</v>
      </c>
      <c r="AB14" s="15">
        <f t="shared" si="72"/>
        <v>95619</v>
      </c>
      <c r="AC14" s="15">
        <f t="shared" si="72"/>
        <v>118362</v>
      </c>
      <c r="AD14" s="15">
        <f t="shared" si="72"/>
        <v>99122</v>
      </c>
      <c r="AE14" s="15">
        <f t="shared" si="72"/>
        <v>104525</v>
      </c>
      <c r="AF14" s="15">
        <f t="shared" si="72"/>
        <v>133521</v>
      </c>
      <c r="AG14" s="15">
        <f t="shared" si="72"/>
        <v>145124</v>
      </c>
      <c r="AH14" s="15">
        <f t="shared" si="72"/>
        <v>139438</v>
      </c>
      <c r="AI14" s="15">
        <f t="shared" si="72"/>
        <v>157102</v>
      </c>
      <c r="AJ14" s="15">
        <f t="shared" si="72"/>
        <v>143634</v>
      </c>
      <c r="AK14" s="15">
        <f t="shared" ref="AA14:AL16" si="73">SUMIF($A$5:$A$10,$A14,AK$5:AK$10)</f>
        <v>152090</v>
      </c>
      <c r="AL14" s="15">
        <f t="shared" si="73"/>
        <v>153625</v>
      </c>
      <c r="AM14" s="15">
        <f t="shared" ref="AM14:AW16" si="74">SUMIF($A$5:$A$10,$A14,AM$5:AM$10)</f>
        <v>159196</v>
      </c>
      <c r="AN14" s="15">
        <f t="shared" si="74"/>
        <v>191298</v>
      </c>
      <c r="AO14" s="15">
        <f t="shared" si="74"/>
        <v>295659</v>
      </c>
      <c r="AP14" s="15">
        <f t="shared" si="74"/>
        <v>326158</v>
      </c>
      <c r="AQ14" s="15">
        <f t="shared" si="74"/>
        <v>364303</v>
      </c>
      <c r="AR14" s="15">
        <f t="shared" si="74"/>
        <v>351988</v>
      </c>
      <c r="AS14" s="15">
        <f t="shared" si="74"/>
        <v>379010</v>
      </c>
      <c r="AT14" s="15">
        <f t="shared" si="74"/>
        <v>401513</v>
      </c>
      <c r="AU14" s="15">
        <f t="shared" si="74"/>
        <v>422248</v>
      </c>
      <c r="AV14" s="15">
        <f t="shared" si="74"/>
        <v>411732</v>
      </c>
      <c r="AW14" s="15">
        <f t="shared" si="74"/>
        <v>360612</v>
      </c>
    </row>
    <row r="15" spans="1:49" x14ac:dyDescent="0.2">
      <c r="A15" s="6" t="s">
        <v>63</v>
      </c>
      <c r="C15" s="15">
        <f t="shared" si="70"/>
        <v>4249492</v>
      </c>
      <c r="D15" s="15">
        <f t="shared" si="70"/>
        <v>4145628</v>
      </c>
      <c r="E15" s="15">
        <f t="shared" si="70"/>
        <v>4359476</v>
      </c>
      <c r="F15" s="15">
        <f t="shared" si="70"/>
        <v>4582244</v>
      </c>
      <c r="G15" s="15">
        <f t="shared" si="70"/>
        <v>4409441</v>
      </c>
      <c r="H15" s="15">
        <f t="shared" si="70"/>
        <v>4653261</v>
      </c>
      <c r="I15" s="15">
        <f t="shared" si="71"/>
        <v>5093849</v>
      </c>
      <c r="J15" s="15">
        <f t="shared" si="71"/>
        <v>5051764</v>
      </c>
      <c r="K15" s="15">
        <f t="shared" si="71"/>
        <v>5045769</v>
      </c>
      <c r="L15" s="15">
        <f t="shared" si="71"/>
        <v>5139507</v>
      </c>
      <c r="M15" s="15">
        <f t="shared" si="71"/>
        <v>4508773</v>
      </c>
      <c r="N15" s="15">
        <f>SUMIF($A$5:$A$10,$A15,N$5:N$10)</f>
        <v>4554321</v>
      </c>
      <c r="O15" s="15">
        <f t="shared" si="71"/>
        <v>4801006</v>
      </c>
      <c r="P15" s="15">
        <f t="shared" si="71"/>
        <v>4180971</v>
      </c>
      <c r="Q15" s="15">
        <f t="shared" si="71"/>
        <v>4636866</v>
      </c>
      <c r="R15" s="15">
        <f t="shared" si="71"/>
        <v>4575702</v>
      </c>
      <c r="S15" s="15">
        <f t="shared" si="71"/>
        <v>4406278</v>
      </c>
      <c r="T15" s="15">
        <f t="shared" si="71"/>
        <v>4742129</v>
      </c>
      <c r="U15" s="15">
        <f t="shared" si="72"/>
        <v>5051862</v>
      </c>
      <c r="V15" s="15">
        <f t="shared" si="72"/>
        <v>5174179</v>
      </c>
      <c r="W15" s="15">
        <f t="shared" si="72"/>
        <v>5839595</v>
      </c>
      <c r="X15" s="15">
        <f t="shared" si="72"/>
        <v>4878268</v>
      </c>
      <c r="Y15" s="15">
        <f t="shared" si="72"/>
        <v>4447010</v>
      </c>
      <c r="Z15" s="15">
        <f t="shared" si="72"/>
        <v>4565934</v>
      </c>
      <c r="AA15" s="15">
        <f t="shared" si="73"/>
        <v>4761113</v>
      </c>
      <c r="AB15" s="15">
        <f t="shared" si="73"/>
        <v>4017758</v>
      </c>
      <c r="AC15" s="15">
        <f t="shared" si="73"/>
        <v>4716667</v>
      </c>
      <c r="AD15" s="15">
        <f t="shared" si="73"/>
        <v>4205781</v>
      </c>
      <c r="AE15" s="15">
        <f t="shared" si="73"/>
        <v>4219556</v>
      </c>
      <c r="AF15" s="15">
        <f t="shared" si="73"/>
        <v>4826632</v>
      </c>
      <c r="AG15" s="15">
        <f t="shared" si="73"/>
        <v>5105999</v>
      </c>
      <c r="AH15" s="15">
        <f t="shared" si="73"/>
        <v>4769831</v>
      </c>
      <c r="AI15" s="15">
        <f t="shared" si="73"/>
        <v>5228514</v>
      </c>
      <c r="AJ15" s="15">
        <f t="shared" si="73"/>
        <v>4401405</v>
      </c>
      <c r="AK15" s="15">
        <f t="shared" si="73"/>
        <v>4425520</v>
      </c>
      <c r="AL15" s="15">
        <f t="shared" si="73"/>
        <v>4416014</v>
      </c>
      <c r="AM15" s="15">
        <f t="shared" si="74"/>
        <v>4527261</v>
      </c>
      <c r="AN15" s="15">
        <f t="shared" si="74"/>
        <v>4350149</v>
      </c>
      <c r="AO15" s="15">
        <f t="shared" si="74"/>
        <v>4008495</v>
      </c>
      <c r="AP15" s="15">
        <f t="shared" si="74"/>
        <v>3949632</v>
      </c>
      <c r="AQ15" s="15">
        <f t="shared" si="74"/>
        <v>4387837</v>
      </c>
      <c r="AR15" s="15">
        <f t="shared" si="74"/>
        <v>4364394</v>
      </c>
      <c r="AS15" s="15">
        <f t="shared" si="74"/>
        <v>4951143</v>
      </c>
      <c r="AT15" s="15">
        <f t="shared" si="74"/>
        <v>5072709</v>
      </c>
      <c r="AU15" s="15">
        <f t="shared" si="74"/>
        <v>4983927</v>
      </c>
      <c r="AV15" s="15">
        <f t="shared" si="74"/>
        <v>4681777</v>
      </c>
      <c r="AW15" s="15">
        <f t="shared" si="74"/>
        <v>4440824</v>
      </c>
    </row>
    <row r="16" spans="1:49" x14ac:dyDescent="0.2">
      <c r="A16" s="6" t="s">
        <v>68</v>
      </c>
      <c r="C16" s="15">
        <f t="shared" si="70"/>
        <v>124619</v>
      </c>
      <c r="D16" s="15">
        <f t="shared" si="70"/>
        <v>172921</v>
      </c>
      <c r="E16" s="15">
        <f t="shared" si="70"/>
        <v>232009</v>
      </c>
      <c r="F16" s="15">
        <f t="shared" si="70"/>
        <v>180476</v>
      </c>
      <c r="G16" s="15">
        <f t="shared" si="70"/>
        <v>245271</v>
      </c>
      <c r="H16" s="15">
        <f t="shared" si="70"/>
        <v>223684</v>
      </c>
      <c r="I16" s="15">
        <f t="shared" si="71"/>
        <v>240703</v>
      </c>
      <c r="J16" s="15">
        <f t="shared" si="71"/>
        <v>286093</v>
      </c>
      <c r="K16" s="15">
        <f t="shared" si="71"/>
        <v>758184</v>
      </c>
      <c r="L16" s="15">
        <f t="shared" si="71"/>
        <v>285057</v>
      </c>
      <c r="M16" s="15">
        <f t="shared" si="71"/>
        <v>270281</v>
      </c>
      <c r="N16" s="15">
        <f t="shared" si="71"/>
        <v>233023</v>
      </c>
      <c r="O16" s="15">
        <f t="shared" si="71"/>
        <v>276067</v>
      </c>
      <c r="P16" s="15">
        <f t="shared" si="71"/>
        <v>218077</v>
      </c>
      <c r="Q16" s="15">
        <f t="shared" si="71"/>
        <v>231170</v>
      </c>
      <c r="R16" s="15">
        <f t="shared" si="71"/>
        <v>220719</v>
      </c>
      <c r="S16" s="15">
        <f t="shared" si="71"/>
        <v>231564</v>
      </c>
      <c r="T16" s="15">
        <f t="shared" si="71"/>
        <v>217192</v>
      </c>
      <c r="U16" s="15">
        <f t="shared" si="72"/>
        <v>229856</v>
      </c>
      <c r="V16" s="15">
        <f t="shared" si="72"/>
        <v>231147</v>
      </c>
      <c r="W16" s="15">
        <f t="shared" si="72"/>
        <v>274965</v>
      </c>
      <c r="X16" s="15">
        <f t="shared" si="72"/>
        <v>274862</v>
      </c>
      <c r="Y16" s="15">
        <f t="shared" si="72"/>
        <v>223721</v>
      </c>
      <c r="Z16" s="15">
        <f t="shared" si="72"/>
        <v>227338</v>
      </c>
      <c r="AA16" s="15">
        <f t="shared" si="73"/>
        <v>212455</v>
      </c>
      <c r="AB16" s="15">
        <f t="shared" si="73"/>
        <v>230409</v>
      </c>
      <c r="AC16" s="15">
        <f t="shared" si="73"/>
        <v>264318</v>
      </c>
      <c r="AD16" s="15">
        <f t="shared" si="73"/>
        <v>145287</v>
      </c>
      <c r="AE16" s="15">
        <f t="shared" si="73"/>
        <v>251389</v>
      </c>
      <c r="AF16" s="15">
        <f t="shared" si="73"/>
        <v>262730</v>
      </c>
      <c r="AG16" s="15">
        <f t="shared" si="73"/>
        <v>278436</v>
      </c>
      <c r="AH16" s="15">
        <f t="shared" si="73"/>
        <v>230151</v>
      </c>
      <c r="AI16" s="15">
        <f t="shared" si="73"/>
        <v>300167</v>
      </c>
      <c r="AJ16" s="15">
        <f t="shared" si="73"/>
        <v>222050</v>
      </c>
      <c r="AK16" s="15">
        <f t="shared" si="73"/>
        <v>227503</v>
      </c>
      <c r="AL16" s="15">
        <f t="shared" si="73"/>
        <v>267834</v>
      </c>
      <c r="AM16" s="15">
        <f t="shared" si="74"/>
        <v>249868</v>
      </c>
      <c r="AN16" s="15">
        <f t="shared" si="74"/>
        <v>209281</v>
      </c>
      <c r="AO16" s="15">
        <f t="shared" si="74"/>
        <v>195178</v>
      </c>
      <c r="AP16" s="15">
        <f t="shared" si="74"/>
        <v>187379</v>
      </c>
      <c r="AQ16" s="15">
        <f t="shared" si="74"/>
        <v>338702</v>
      </c>
      <c r="AR16" s="15">
        <f t="shared" si="74"/>
        <v>105040</v>
      </c>
      <c r="AS16" s="15">
        <f t="shared" si="74"/>
        <v>211508</v>
      </c>
      <c r="AT16" s="15">
        <f t="shared" si="74"/>
        <v>220240</v>
      </c>
      <c r="AU16" s="15">
        <f t="shared" si="74"/>
        <v>261753</v>
      </c>
      <c r="AV16" s="15">
        <f t="shared" si="74"/>
        <v>342304</v>
      </c>
      <c r="AW16" s="15">
        <f t="shared" si="74"/>
        <v>151605</v>
      </c>
    </row>
    <row r="18" spans="1:3" x14ac:dyDescent="0.2">
      <c r="A18" s="4"/>
    </row>
    <row r="19" spans="1:3" ht="31.15" customHeight="1" x14ac:dyDescent="0.2">
      <c r="A19" s="180" t="s">
        <v>71</v>
      </c>
      <c r="B19" s="180"/>
      <c r="C19" s="78"/>
    </row>
    <row r="20" spans="1:3" ht="28.15" customHeight="1" x14ac:dyDescent="0.2">
      <c r="A20" s="180" t="s">
        <v>72</v>
      </c>
      <c r="B20" s="180"/>
    </row>
  </sheetData>
  <mergeCells count="4">
    <mergeCell ref="A12:H12"/>
    <mergeCell ref="A1:H1"/>
    <mergeCell ref="A19:B19"/>
    <mergeCell ref="A20:B20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W20"/>
  <sheetViews>
    <sheetView zoomScale="70" zoomScaleNormal="70" workbookViewId="0">
      <selection activeCell="AC25" sqref="AC25:AC26"/>
    </sheetView>
  </sheetViews>
  <sheetFormatPr defaultColWidth="8.7421875" defaultRowHeight="15" x14ac:dyDescent="0.2"/>
  <cols>
    <col min="1" max="1" width="31.07421875" customWidth="1"/>
    <col min="2" max="2" width="29.99609375" customWidth="1"/>
    <col min="3" max="26" width="12.5078125" hidden="1" customWidth="1"/>
    <col min="27" max="38" width="12.5078125" customWidth="1"/>
    <col min="39" max="39" width="12.375" bestFit="1" customWidth="1"/>
    <col min="40" max="40" width="12.64453125" bestFit="1" customWidth="1"/>
    <col min="41" max="41" width="12.375" bestFit="1" customWidth="1"/>
    <col min="42" max="42" width="10.625" customWidth="1"/>
    <col min="43" max="43" width="11.296875" customWidth="1"/>
    <col min="44" max="44" width="9.68359375" customWidth="1"/>
    <col min="45" max="45" width="10.76171875" customWidth="1"/>
    <col min="46" max="46" width="9.68359375" customWidth="1"/>
    <col min="47" max="47" width="11.43359375" customWidth="1"/>
    <col min="48" max="49" width="10.22265625" customWidth="1"/>
  </cols>
  <sheetData>
    <row r="1" spans="1:49" x14ac:dyDescent="0.2">
      <c r="A1" s="178" t="str">
        <f>"DR-2: Sewer Billed Volume"</f>
        <v>DR-2: Sewer Billed Volume</v>
      </c>
      <c r="B1" s="179"/>
      <c r="C1" s="179"/>
      <c r="D1" s="179"/>
      <c r="E1" s="179"/>
      <c r="F1" s="179"/>
      <c r="G1" s="179"/>
      <c r="H1" s="179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x14ac:dyDescent="0.2">
      <c r="A2" s="86"/>
      <c r="B2" s="87"/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v>2021</v>
      </c>
      <c r="N2" s="87">
        <f>IF(N3=1,M2+1,M2)</f>
        <v>2021</v>
      </c>
      <c r="O2" s="87">
        <f t="shared" ref="O2:T2" si="0">IF(O3=1,N2+1,N2)</f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si="0"/>
        <v>2022</v>
      </c>
      <c r="U2" s="87">
        <f t="shared" ref="U2" si="1">IF(U3=1,T2+1,T2)</f>
        <v>2022</v>
      </c>
      <c r="V2" s="87">
        <f t="shared" ref="V2" si="2">IF(V3=1,U2+1,U2)</f>
        <v>2022</v>
      </c>
      <c r="W2" s="87">
        <f t="shared" ref="W2" si="3">IF(W3=1,V2+1,V2)</f>
        <v>2022</v>
      </c>
      <c r="X2" s="87">
        <f t="shared" ref="X2" si="4">IF(X3=1,W2+1,W2)</f>
        <v>2022</v>
      </c>
      <c r="Y2" s="87">
        <f t="shared" ref="Y2" si="5">IF(Y3=1,X2+1,X2)</f>
        <v>2022</v>
      </c>
      <c r="Z2" s="87">
        <f t="shared" ref="Z2" si="6">IF(Z3=1,Y2+1,Y2)</f>
        <v>2022</v>
      </c>
      <c r="AA2" s="87">
        <f t="shared" ref="AA2" si="7">IF(AA3=1,Z2+1,Z2)</f>
        <v>2023</v>
      </c>
      <c r="AB2" s="87">
        <f t="shared" ref="AB2" si="8">IF(AB3=1,AA2+1,AA2)</f>
        <v>2023</v>
      </c>
      <c r="AC2" s="87">
        <f t="shared" ref="AC2" si="9">IF(AC3=1,AB2+1,AB2)</f>
        <v>2023</v>
      </c>
      <c r="AD2" s="87">
        <f t="shared" ref="AD2" si="10">IF(AD3=1,AC2+1,AC2)</f>
        <v>2023</v>
      </c>
      <c r="AE2" s="87">
        <f t="shared" ref="AE2" si="11">IF(AE3=1,AD2+1,AD2)</f>
        <v>2023</v>
      </c>
      <c r="AF2" s="87">
        <f t="shared" ref="AF2" si="12">IF(AF3=1,AE2+1,AE2)</f>
        <v>2023</v>
      </c>
      <c r="AG2" s="87">
        <f t="shared" ref="AG2" si="13">IF(AG3=1,AF2+1,AF2)</f>
        <v>2023</v>
      </c>
      <c r="AH2" s="87">
        <f t="shared" ref="AH2" si="14">IF(AH3=1,AG2+1,AG2)</f>
        <v>2023</v>
      </c>
      <c r="AI2" s="87">
        <f t="shared" ref="AI2" si="15">IF(AI3=1,AH2+1,AH2)</f>
        <v>2023</v>
      </c>
      <c r="AJ2" s="87">
        <f t="shared" ref="AJ2:AO2" si="16">IF(AJ3=1,AI2+1,AI2)</f>
        <v>2023</v>
      </c>
      <c r="AK2" s="87">
        <f t="shared" si="16"/>
        <v>2023</v>
      </c>
      <c r="AL2" s="87">
        <f t="shared" si="16"/>
        <v>2023</v>
      </c>
      <c r="AM2" s="87">
        <f t="shared" si="16"/>
        <v>2024</v>
      </c>
      <c r="AN2" s="87">
        <f t="shared" si="16"/>
        <v>2024</v>
      </c>
      <c r="AO2" s="87">
        <f t="shared" si="16"/>
        <v>2024</v>
      </c>
      <c r="AP2" s="87">
        <f t="shared" ref="AP2" si="17">IF(AP3=1,AO2+1,AO2)</f>
        <v>2024</v>
      </c>
      <c r="AQ2" s="87">
        <f t="shared" ref="AQ2" si="18">IF(AQ3=1,AP2+1,AP2)</f>
        <v>2024</v>
      </c>
      <c r="AR2" s="87">
        <f t="shared" ref="AR2" si="19">IF(AR3=1,AQ2+1,AQ2)</f>
        <v>2024</v>
      </c>
      <c r="AS2" s="87">
        <f t="shared" ref="AS2" si="20">IF(AS3=1,AR2+1,AR2)</f>
        <v>2024</v>
      </c>
      <c r="AT2" s="87">
        <f t="shared" ref="AT2" si="21">IF(AT3=1,AS2+1,AS2)</f>
        <v>2024</v>
      </c>
      <c r="AU2" s="87">
        <f t="shared" ref="AU2" si="22">IF(AU3=1,AT2+1,AT2)</f>
        <v>2024</v>
      </c>
      <c r="AV2" s="87">
        <f t="shared" ref="AV2" si="23">IF(AV3=1,AU2+1,AU2)</f>
        <v>2024</v>
      </c>
      <c r="AW2" s="87">
        <f t="shared" ref="AW2" si="24">IF(AW3=1,AV2+1,AV2)</f>
        <v>2024</v>
      </c>
    </row>
    <row r="3" spans="1:49" x14ac:dyDescent="0.2">
      <c r="A3" s="86"/>
      <c r="B3" s="87"/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f>IF(M3&lt;12,M3+1,1)</f>
        <v>12</v>
      </c>
      <c r="O3" s="87">
        <f t="shared" ref="O3:T3" si="25">IF(N3&lt;12,N3+1,1)</f>
        <v>1</v>
      </c>
      <c r="P3" s="87">
        <f t="shared" si="25"/>
        <v>2</v>
      </c>
      <c r="Q3" s="87">
        <f t="shared" si="25"/>
        <v>3</v>
      </c>
      <c r="R3" s="87">
        <f t="shared" si="25"/>
        <v>4</v>
      </c>
      <c r="S3" s="87">
        <f t="shared" si="25"/>
        <v>5</v>
      </c>
      <c r="T3" s="87">
        <f t="shared" si="25"/>
        <v>6</v>
      </c>
      <c r="U3" s="87">
        <f t="shared" ref="U3" si="26">IF(T3&lt;12,T3+1,1)</f>
        <v>7</v>
      </c>
      <c r="V3" s="87">
        <f t="shared" ref="V3" si="27">IF(U3&lt;12,U3+1,1)</f>
        <v>8</v>
      </c>
      <c r="W3" s="87">
        <f t="shared" ref="W3" si="28">IF(V3&lt;12,V3+1,1)</f>
        <v>9</v>
      </c>
      <c r="X3" s="87">
        <f t="shared" ref="X3" si="29">IF(W3&lt;12,W3+1,1)</f>
        <v>10</v>
      </c>
      <c r="Y3" s="87">
        <f t="shared" ref="Y3" si="30">IF(X3&lt;12,X3+1,1)</f>
        <v>11</v>
      </c>
      <c r="Z3" s="87">
        <f t="shared" ref="Z3" si="31">IF(Y3&lt;12,Y3+1,1)</f>
        <v>12</v>
      </c>
      <c r="AA3" s="87">
        <f t="shared" ref="AA3" si="32">IF(Z3&lt;12,Z3+1,1)</f>
        <v>1</v>
      </c>
      <c r="AB3" s="87">
        <f t="shared" ref="AB3" si="33">IF(AA3&lt;12,AA3+1,1)</f>
        <v>2</v>
      </c>
      <c r="AC3" s="87">
        <f t="shared" ref="AC3" si="34">IF(AB3&lt;12,AB3+1,1)</f>
        <v>3</v>
      </c>
      <c r="AD3" s="87">
        <f t="shared" ref="AD3" si="35">IF(AC3&lt;12,AC3+1,1)</f>
        <v>4</v>
      </c>
      <c r="AE3" s="87">
        <f t="shared" ref="AE3" si="36">IF(AD3&lt;12,AD3+1,1)</f>
        <v>5</v>
      </c>
      <c r="AF3" s="87">
        <f t="shared" ref="AF3" si="37">IF(AE3&lt;12,AE3+1,1)</f>
        <v>6</v>
      </c>
      <c r="AG3" s="87">
        <f t="shared" ref="AG3" si="38">IF(AF3&lt;12,AF3+1,1)</f>
        <v>7</v>
      </c>
      <c r="AH3" s="87">
        <f t="shared" ref="AH3" si="39">IF(AG3&lt;12,AG3+1,1)</f>
        <v>8</v>
      </c>
      <c r="AI3" s="87">
        <f t="shared" ref="AI3" si="40">IF(AH3&lt;12,AH3+1,1)</f>
        <v>9</v>
      </c>
      <c r="AJ3" s="87">
        <f t="shared" ref="AJ3:AO3" si="41">IF(AI3&lt;12,AI3+1,1)</f>
        <v>10</v>
      </c>
      <c r="AK3" s="87">
        <f t="shared" si="41"/>
        <v>11</v>
      </c>
      <c r="AL3" s="87">
        <f t="shared" si="41"/>
        <v>12</v>
      </c>
      <c r="AM3" s="87">
        <f t="shared" si="41"/>
        <v>1</v>
      </c>
      <c r="AN3" s="87">
        <f t="shared" si="41"/>
        <v>2</v>
      </c>
      <c r="AO3" s="87">
        <f t="shared" si="41"/>
        <v>3</v>
      </c>
      <c r="AP3" s="87">
        <f t="shared" ref="AP3" si="42">IF(AO3&lt;12,AO3+1,1)</f>
        <v>4</v>
      </c>
      <c r="AQ3" s="87">
        <f t="shared" ref="AQ3" si="43">IF(AP3&lt;12,AP3+1,1)</f>
        <v>5</v>
      </c>
      <c r="AR3" s="87">
        <f t="shared" ref="AR3" si="44">IF(AQ3&lt;12,AQ3+1,1)</f>
        <v>6</v>
      </c>
      <c r="AS3" s="87">
        <f t="shared" ref="AS3" si="45">IF(AR3&lt;12,AR3+1,1)</f>
        <v>7</v>
      </c>
      <c r="AT3" s="87">
        <f t="shared" ref="AT3" si="46">IF(AS3&lt;12,AS3+1,1)</f>
        <v>8</v>
      </c>
      <c r="AU3" s="87">
        <f t="shared" ref="AU3" si="47">IF(AT3&lt;12,AT3+1,1)</f>
        <v>9</v>
      </c>
      <c r="AV3" s="87">
        <f t="shared" ref="AV3" si="48">IF(AU3&lt;12,AU3+1,1)</f>
        <v>10</v>
      </c>
      <c r="AW3" s="87">
        <f t="shared" ref="AW3" si="49">IF(AV3&lt;12,AV3+1,1)</f>
        <v>11</v>
      </c>
    </row>
    <row r="4" spans="1:49" ht="57.4" customHeight="1" x14ac:dyDescent="0.2">
      <c r="A4" s="76" t="s">
        <v>59</v>
      </c>
      <c r="B4" s="77" t="s">
        <v>60</v>
      </c>
      <c r="C4" s="85" t="str">
        <f t="shared" ref="C4:F4" si="50">TEXT(C3*29, "Mmmm")&amp;" "&amp;C2&amp;" Sewer Billed Volume (CCF)"</f>
        <v>January 2021 Sewer Billed Volume (CCF)</v>
      </c>
      <c r="D4" s="85" t="str">
        <f t="shared" si="50"/>
        <v>February 2021 Sewer Billed Volume (CCF)</v>
      </c>
      <c r="E4" s="85" t="str">
        <f t="shared" si="50"/>
        <v>March 2021 Sewer Billed Volume (CCF)</v>
      </c>
      <c r="F4" s="85" t="str">
        <f t="shared" si="50"/>
        <v>April 2021 Sewer Billed Volume (CCF)</v>
      </c>
      <c r="G4" s="85" t="str">
        <f t="shared" ref="G4:K4" si="51">TEXT(G3*29, "Mmmm")&amp;" "&amp;G2&amp;" Sewer Billed Volume (CCF)"</f>
        <v>May 2021 Sewer Billed Volume (CCF)</v>
      </c>
      <c r="H4" s="85" t="str">
        <f t="shared" si="51"/>
        <v>June 2021 Sewer Billed Volume (CCF)</v>
      </c>
      <c r="I4" s="85" t="str">
        <f t="shared" si="51"/>
        <v>July 2021 Sewer Billed Volume (CCF)</v>
      </c>
      <c r="J4" s="85" t="str">
        <f t="shared" si="51"/>
        <v>August 2021 Sewer Billed Volume (CCF)</v>
      </c>
      <c r="K4" s="85" t="str">
        <f t="shared" si="51"/>
        <v>September 2021 Sewer Billed Volume (CCF)</v>
      </c>
      <c r="L4" s="85" t="str">
        <f t="shared" ref="L4:T4" si="52">TEXT(L3*29, "Mmmm")&amp;" "&amp;L2&amp;" Sewer Billed Volume (CCF)"</f>
        <v>October 2021 Sewer Billed Volume (CCF)</v>
      </c>
      <c r="M4" s="85" t="str">
        <f t="shared" si="52"/>
        <v>November 2021 Sewer Billed Volume (CCF)</v>
      </c>
      <c r="N4" s="85" t="str">
        <f t="shared" si="52"/>
        <v>December 2021 Sewer Billed Volume (CCF)</v>
      </c>
      <c r="O4" s="85" t="str">
        <f t="shared" si="52"/>
        <v>January 2022 Sewer Billed Volume (CCF)</v>
      </c>
      <c r="P4" s="85" t="str">
        <f t="shared" si="52"/>
        <v>February 2022 Sewer Billed Volume (CCF)</v>
      </c>
      <c r="Q4" s="85" t="str">
        <f t="shared" si="52"/>
        <v>March 2022 Sewer Billed Volume (CCF)</v>
      </c>
      <c r="R4" s="85" t="str">
        <f t="shared" si="52"/>
        <v>April 2022 Sewer Billed Volume (CCF)</v>
      </c>
      <c r="S4" s="85" t="str">
        <f t="shared" si="52"/>
        <v>May 2022 Sewer Billed Volume (CCF)</v>
      </c>
      <c r="T4" s="85" t="str">
        <f t="shared" si="52"/>
        <v>June 2022 Sewer Billed Volume (CCF)</v>
      </c>
      <c r="U4" s="85" t="str">
        <f t="shared" ref="U4:Y4" si="53">TEXT(U3*29, "Mmmm")&amp;" "&amp;U2&amp;" Sewer Billed Volume (CCF)"</f>
        <v>July 2022 Sewer Billed Volume (CCF)</v>
      </c>
      <c r="V4" s="85" t="str">
        <f t="shared" si="53"/>
        <v>August 2022 Sewer Billed Volume (CCF)</v>
      </c>
      <c r="W4" s="85" t="str">
        <f t="shared" si="53"/>
        <v>September 2022 Sewer Billed Volume (CCF)</v>
      </c>
      <c r="X4" s="85" t="str">
        <f t="shared" si="53"/>
        <v>October 2022 Sewer Billed Volume (CCF)</v>
      </c>
      <c r="Y4" s="85" t="str">
        <f t="shared" si="53"/>
        <v>November 2022 Sewer Billed Volume (CCF)</v>
      </c>
      <c r="Z4" s="85" t="str">
        <f t="shared" ref="Z4:AJ4" si="54">TEXT(Z3*29, "Mmmm")&amp;" "&amp;Z2&amp;" Sewer Billed Volume (CCF)"</f>
        <v>December 2022 Sewer Billed Volume (CCF)</v>
      </c>
      <c r="AA4" s="85" t="str">
        <f t="shared" si="54"/>
        <v>January 2023 Sewer Billed Volume (CCF)</v>
      </c>
      <c r="AB4" s="85" t="str">
        <f t="shared" si="54"/>
        <v>February 2023 Sewer Billed Volume (CCF)</v>
      </c>
      <c r="AC4" s="85" t="str">
        <f t="shared" si="54"/>
        <v>March 2023 Sewer Billed Volume (CCF)</v>
      </c>
      <c r="AD4" s="85" t="str">
        <f t="shared" si="54"/>
        <v>April 2023 Sewer Billed Volume (CCF)</v>
      </c>
      <c r="AE4" s="85" t="str">
        <f t="shared" si="54"/>
        <v>May 2023 Sewer Billed Volume (CCF)</v>
      </c>
      <c r="AF4" s="85" t="str">
        <f t="shared" si="54"/>
        <v>June 2023 Sewer Billed Volume (CCF)</v>
      </c>
      <c r="AG4" s="85" t="str">
        <f t="shared" si="54"/>
        <v>July 2023 Sewer Billed Volume (CCF)</v>
      </c>
      <c r="AH4" s="85" t="str">
        <f t="shared" si="54"/>
        <v>August 2023 Sewer Billed Volume (CCF)</v>
      </c>
      <c r="AI4" s="85" t="str">
        <f t="shared" si="54"/>
        <v>September 2023 Sewer Billed Volume (CCF)</v>
      </c>
      <c r="AJ4" s="85" t="str">
        <f t="shared" si="54"/>
        <v>October 2023 Sewer Billed Volume (CCF)</v>
      </c>
      <c r="AK4" s="85" t="str">
        <f t="shared" ref="AK4:AL4" si="55">TEXT(AK3*29, "Mmmm")&amp;" "&amp;AK2&amp;" Sewer Billed Volume (CCF)"</f>
        <v>November 2023 Sewer Billed Volume (CCF)</v>
      </c>
      <c r="AL4" s="85" t="str">
        <f t="shared" si="55"/>
        <v>December 2023 Sewer Billed Volume (CCF)</v>
      </c>
      <c r="AM4" s="85" t="str">
        <f t="shared" ref="AM4:AN4" si="56">TEXT(AM3*29, "Mmmm")&amp;" "&amp;AM2&amp;" Sewer Billed Volume (CCF)"</f>
        <v>January 2024 Sewer Billed Volume (CCF)</v>
      </c>
      <c r="AN4" s="85" t="str">
        <f t="shared" si="56"/>
        <v>February 2024 Sewer Billed Volume (CCF)</v>
      </c>
      <c r="AO4" s="85" t="str">
        <f t="shared" ref="AO4:AW4" si="57">TEXT(AO3*29, "Mmmm")&amp;" "&amp;AO2&amp;" Sewer Billed Volume (CCF)"</f>
        <v>March 2024 Sewer Billed Volume (CCF)</v>
      </c>
      <c r="AP4" s="85" t="str">
        <f t="shared" si="57"/>
        <v>April 2024 Sewer Billed Volume (CCF)</v>
      </c>
      <c r="AQ4" s="85" t="str">
        <f t="shared" si="57"/>
        <v>May 2024 Sewer Billed Volume (CCF)</v>
      </c>
      <c r="AR4" s="85" t="str">
        <f t="shared" si="57"/>
        <v>June 2024 Sewer Billed Volume (CCF)</v>
      </c>
      <c r="AS4" s="85" t="str">
        <f t="shared" si="57"/>
        <v>July 2024 Sewer Billed Volume (CCF)</v>
      </c>
      <c r="AT4" s="85" t="str">
        <f t="shared" si="57"/>
        <v>August 2024 Sewer Billed Volume (CCF)</v>
      </c>
      <c r="AU4" s="85" t="str">
        <f t="shared" si="57"/>
        <v>September 2024 Sewer Billed Volume (CCF)</v>
      </c>
      <c r="AV4" s="85" t="str">
        <f t="shared" si="57"/>
        <v>October 2024 Sewer Billed Volume (CCF)</v>
      </c>
      <c r="AW4" s="85" t="str">
        <f t="shared" si="57"/>
        <v>November 2024 Sewer Billed Volume (CCF)</v>
      </c>
    </row>
    <row r="5" spans="1:49" x14ac:dyDescent="0.2">
      <c r="A5" s="6" t="s">
        <v>61</v>
      </c>
      <c r="B5" s="84" t="s">
        <v>62</v>
      </c>
      <c r="C5" s="96">
        <v>117956</v>
      </c>
      <c r="D5" s="96">
        <v>116114</v>
      </c>
      <c r="E5" s="96">
        <v>118618</v>
      </c>
      <c r="F5" s="96">
        <v>127312</v>
      </c>
      <c r="G5" s="96">
        <v>110718</v>
      </c>
      <c r="H5" s="96">
        <v>116831</v>
      </c>
      <c r="I5" s="96">
        <v>129728</v>
      </c>
      <c r="J5" s="96">
        <v>126632</v>
      </c>
      <c r="K5" s="96">
        <v>126626</v>
      </c>
      <c r="L5" s="96">
        <v>136485</v>
      </c>
      <c r="M5" s="96">
        <v>121644</v>
      </c>
      <c r="N5" s="96">
        <v>119900</v>
      </c>
      <c r="O5" s="96">
        <v>115041</v>
      </c>
      <c r="P5" s="96">
        <v>91954</v>
      </c>
      <c r="Q5" s="96">
        <v>90373</v>
      </c>
      <c r="R5" s="96">
        <v>74117</v>
      </c>
      <c r="S5" s="96">
        <v>69737</v>
      </c>
      <c r="T5" s="96">
        <v>72225</v>
      </c>
      <c r="U5" s="96">
        <v>81024</v>
      </c>
      <c r="V5" s="96">
        <v>87666</v>
      </c>
      <c r="W5" s="96">
        <v>110492</v>
      </c>
      <c r="X5" s="96">
        <v>102819</v>
      </c>
      <c r="Y5" s="96">
        <v>99814</v>
      </c>
      <c r="Z5" s="96">
        <v>106835</v>
      </c>
      <c r="AA5" s="96">
        <v>120214</v>
      </c>
      <c r="AB5" s="96">
        <v>95609</v>
      </c>
      <c r="AC5" s="96">
        <v>118348</v>
      </c>
      <c r="AD5" s="96">
        <v>99108</v>
      </c>
      <c r="AE5" s="96">
        <v>104514</v>
      </c>
      <c r="AF5" s="96">
        <v>133499</v>
      </c>
      <c r="AG5" s="96">
        <v>145107</v>
      </c>
      <c r="AH5" s="96">
        <v>139399</v>
      </c>
      <c r="AI5" s="96">
        <v>157059</v>
      </c>
      <c r="AJ5" s="96">
        <v>143572</v>
      </c>
      <c r="AK5" s="96">
        <v>152045</v>
      </c>
      <c r="AL5" s="96">
        <v>153575</v>
      </c>
      <c r="AM5" s="96">
        <v>159148</v>
      </c>
      <c r="AN5" s="96">
        <v>191224</v>
      </c>
      <c r="AO5" s="96">
        <v>295463</v>
      </c>
      <c r="AP5" s="96">
        <v>325874</v>
      </c>
      <c r="AQ5" s="96">
        <v>364001</v>
      </c>
      <c r="AR5" s="96">
        <v>351660</v>
      </c>
      <c r="AS5" s="96">
        <v>378585</v>
      </c>
      <c r="AT5" s="96">
        <v>401093</v>
      </c>
      <c r="AU5" s="96">
        <v>421902</v>
      </c>
      <c r="AV5" s="96">
        <v>411356</v>
      </c>
      <c r="AW5" s="96">
        <v>360271</v>
      </c>
    </row>
    <row r="6" spans="1:49" x14ac:dyDescent="0.2">
      <c r="A6" s="6" t="s">
        <v>63</v>
      </c>
      <c r="B6" s="6" t="s">
        <v>64</v>
      </c>
      <c r="C6" s="96">
        <v>73803</v>
      </c>
      <c r="D6" s="96">
        <v>71434</v>
      </c>
      <c r="E6" s="96">
        <v>74794</v>
      </c>
      <c r="F6" s="96">
        <v>77527</v>
      </c>
      <c r="G6" s="96">
        <v>67487</v>
      </c>
      <c r="H6" s="96">
        <v>72582</v>
      </c>
      <c r="I6" s="96">
        <v>79969</v>
      </c>
      <c r="J6" s="96">
        <v>78514</v>
      </c>
      <c r="K6" s="96">
        <v>79089</v>
      </c>
      <c r="L6" s="96">
        <v>80405</v>
      </c>
      <c r="M6" s="96">
        <v>72382</v>
      </c>
      <c r="N6" s="96">
        <v>72879</v>
      </c>
      <c r="O6" s="96">
        <v>82263</v>
      </c>
      <c r="P6" s="96">
        <v>73508</v>
      </c>
      <c r="Q6" s="96">
        <v>83561</v>
      </c>
      <c r="R6" s="96">
        <v>85828</v>
      </c>
      <c r="S6" s="96">
        <v>81699</v>
      </c>
      <c r="T6" s="96">
        <v>85945</v>
      </c>
      <c r="U6" s="96">
        <v>90652</v>
      </c>
      <c r="V6" s="96">
        <v>82764</v>
      </c>
      <c r="W6" s="96">
        <v>91683</v>
      </c>
      <c r="X6" s="96">
        <v>80024</v>
      </c>
      <c r="Y6" s="96">
        <v>78777</v>
      </c>
      <c r="Z6" s="96">
        <v>80571</v>
      </c>
      <c r="AA6" s="96">
        <v>86833</v>
      </c>
      <c r="AB6" s="96">
        <v>68899</v>
      </c>
      <c r="AC6" s="96">
        <v>84084</v>
      </c>
      <c r="AD6" s="96">
        <v>65221</v>
      </c>
      <c r="AE6" s="96">
        <v>66478</v>
      </c>
      <c r="AF6" s="96">
        <v>84429</v>
      </c>
      <c r="AG6" s="96">
        <v>78662</v>
      </c>
      <c r="AH6" s="96">
        <v>71388</v>
      </c>
      <c r="AI6" s="96">
        <v>78178</v>
      </c>
      <c r="AJ6" s="96">
        <v>68270</v>
      </c>
      <c r="AK6" s="96">
        <v>72351</v>
      </c>
      <c r="AL6" s="96">
        <v>69867</v>
      </c>
      <c r="AM6" s="96">
        <v>71206</v>
      </c>
      <c r="AN6" s="96">
        <v>64782</v>
      </c>
      <c r="AO6" s="96">
        <v>51847</v>
      </c>
      <c r="AP6" s="96">
        <v>49425</v>
      </c>
      <c r="AQ6" s="96">
        <v>52263</v>
      </c>
      <c r="AR6" s="96">
        <v>51841</v>
      </c>
      <c r="AS6" s="96">
        <v>55107</v>
      </c>
      <c r="AT6" s="96">
        <v>55656</v>
      </c>
      <c r="AU6" s="96">
        <v>56166</v>
      </c>
      <c r="AV6" s="96">
        <v>51876</v>
      </c>
      <c r="AW6" s="96">
        <v>46373</v>
      </c>
    </row>
    <row r="7" spans="1:49" x14ac:dyDescent="0.2">
      <c r="A7" s="6" t="s">
        <v>63</v>
      </c>
      <c r="B7" s="6" t="s">
        <v>65</v>
      </c>
      <c r="C7" s="96">
        <v>121108</v>
      </c>
      <c r="D7" s="96">
        <v>119129</v>
      </c>
      <c r="E7" s="96">
        <v>111145</v>
      </c>
      <c r="F7" s="96">
        <v>122569</v>
      </c>
      <c r="G7" s="96">
        <v>111778</v>
      </c>
      <c r="H7" s="96">
        <v>114676</v>
      </c>
      <c r="I7" s="96">
        <v>130848</v>
      </c>
      <c r="J7" s="96">
        <v>127650</v>
      </c>
      <c r="K7" s="96">
        <v>131133</v>
      </c>
      <c r="L7" s="96">
        <v>130022</v>
      </c>
      <c r="M7" s="96">
        <v>121408</v>
      </c>
      <c r="N7" s="96">
        <v>122899</v>
      </c>
      <c r="O7" s="96">
        <v>138099</v>
      </c>
      <c r="P7" s="96">
        <v>123270</v>
      </c>
      <c r="Q7" s="96">
        <v>124902</v>
      </c>
      <c r="R7" s="96">
        <v>135846</v>
      </c>
      <c r="S7" s="96">
        <v>117925</v>
      </c>
      <c r="T7" s="96">
        <v>130520</v>
      </c>
      <c r="U7" s="96">
        <v>138540</v>
      </c>
      <c r="V7" s="96">
        <v>134188</v>
      </c>
      <c r="W7" s="96">
        <v>304626</v>
      </c>
      <c r="X7" s="96">
        <v>147569</v>
      </c>
      <c r="Y7" s="96">
        <v>122243</v>
      </c>
      <c r="Z7" s="96">
        <v>141034</v>
      </c>
      <c r="AA7" s="96">
        <v>148016</v>
      </c>
      <c r="AB7" s="96">
        <v>123843</v>
      </c>
      <c r="AC7" s="96">
        <v>125139</v>
      </c>
      <c r="AD7" s="96">
        <v>119333</v>
      </c>
      <c r="AE7" s="96">
        <v>106668</v>
      </c>
      <c r="AF7" s="96">
        <v>124783</v>
      </c>
      <c r="AG7" s="96">
        <v>128153</v>
      </c>
      <c r="AH7" s="96">
        <v>121354</v>
      </c>
      <c r="AI7" s="96">
        <v>129443</v>
      </c>
      <c r="AJ7" s="96">
        <v>115381</v>
      </c>
      <c r="AK7" s="96">
        <v>116900</v>
      </c>
      <c r="AL7" s="96">
        <v>117295</v>
      </c>
      <c r="AM7" s="96">
        <v>117422</v>
      </c>
      <c r="AN7" s="96">
        <v>115300</v>
      </c>
      <c r="AO7" s="96">
        <v>104612</v>
      </c>
      <c r="AP7" s="96">
        <v>105353</v>
      </c>
      <c r="AQ7" s="96">
        <v>106252</v>
      </c>
      <c r="AR7" s="96">
        <v>111613</v>
      </c>
      <c r="AS7" s="96">
        <v>122559</v>
      </c>
      <c r="AT7" s="96">
        <v>124447</v>
      </c>
      <c r="AU7" s="96">
        <v>122392</v>
      </c>
      <c r="AV7" s="96">
        <v>118830</v>
      </c>
      <c r="AW7" s="96">
        <v>116229</v>
      </c>
    </row>
    <row r="8" spans="1:49" x14ac:dyDescent="0.2">
      <c r="A8" s="6" t="s">
        <v>63</v>
      </c>
      <c r="B8" s="6" t="s">
        <v>66</v>
      </c>
      <c r="C8" s="96">
        <v>139924</v>
      </c>
      <c r="D8" s="96">
        <v>115576</v>
      </c>
      <c r="E8" s="96">
        <v>144615</v>
      </c>
      <c r="F8" s="96">
        <v>130592</v>
      </c>
      <c r="G8" s="96">
        <v>136923</v>
      </c>
      <c r="H8" s="96">
        <v>159586</v>
      </c>
      <c r="I8" s="96">
        <v>181718</v>
      </c>
      <c r="J8" s="96">
        <v>197828</v>
      </c>
      <c r="K8" s="96">
        <v>206348</v>
      </c>
      <c r="L8" s="96">
        <v>194532</v>
      </c>
      <c r="M8" s="96">
        <v>166017</v>
      </c>
      <c r="N8" s="96">
        <v>172343</v>
      </c>
      <c r="O8" s="96">
        <v>173688</v>
      </c>
      <c r="P8" s="96">
        <v>133981</v>
      </c>
      <c r="Q8" s="96">
        <v>182759</v>
      </c>
      <c r="R8" s="96">
        <v>160916</v>
      </c>
      <c r="S8" s="96">
        <v>203910</v>
      </c>
      <c r="T8" s="96">
        <v>180382</v>
      </c>
      <c r="U8" s="96">
        <v>190100</v>
      </c>
      <c r="V8" s="96">
        <v>217734</v>
      </c>
      <c r="W8" s="96">
        <v>266780</v>
      </c>
      <c r="X8" s="96">
        <v>180939</v>
      </c>
      <c r="Y8" s="96">
        <v>175239</v>
      </c>
      <c r="Z8" s="96">
        <v>153899</v>
      </c>
      <c r="AA8" s="96">
        <v>159028</v>
      </c>
      <c r="AB8" s="96">
        <v>138893</v>
      </c>
      <c r="AC8" s="96">
        <v>174693</v>
      </c>
      <c r="AD8" s="96">
        <v>166823</v>
      </c>
      <c r="AE8" s="96">
        <v>158735</v>
      </c>
      <c r="AF8" s="96">
        <v>190252</v>
      </c>
      <c r="AG8" s="96">
        <v>200268</v>
      </c>
      <c r="AH8" s="96">
        <v>186349</v>
      </c>
      <c r="AI8" s="96">
        <v>235558</v>
      </c>
      <c r="AJ8" s="96">
        <v>181857</v>
      </c>
      <c r="AK8" s="96">
        <v>181857</v>
      </c>
      <c r="AL8" s="96">
        <v>145760</v>
      </c>
      <c r="AM8" s="96">
        <v>143105</v>
      </c>
      <c r="AN8" s="96">
        <v>156478</v>
      </c>
      <c r="AO8" s="96">
        <v>145433</v>
      </c>
      <c r="AP8" s="96">
        <v>142187</v>
      </c>
      <c r="AQ8" s="96">
        <v>169319</v>
      </c>
      <c r="AR8" s="96">
        <v>172332</v>
      </c>
      <c r="AS8" s="96">
        <v>206709</v>
      </c>
      <c r="AT8" s="96">
        <v>206657</v>
      </c>
      <c r="AU8" s="96">
        <v>203046</v>
      </c>
      <c r="AV8" s="96">
        <v>184100</v>
      </c>
      <c r="AW8" s="96">
        <v>178932</v>
      </c>
    </row>
    <row r="9" spans="1:49" x14ac:dyDescent="0.2">
      <c r="A9" s="6" t="s">
        <v>63</v>
      </c>
      <c r="B9" s="13" t="s">
        <v>67</v>
      </c>
      <c r="C9" s="96">
        <v>3716640</v>
      </c>
      <c r="D9" s="96">
        <v>3655513</v>
      </c>
      <c r="E9" s="96">
        <v>3836707</v>
      </c>
      <c r="F9" s="96">
        <v>3995250</v>
      </c>
      <c r="G9" s="96">
        <v>3761099</v>
      </c>
      <c r="H9" s="96">
        <v>4010647</v>
      </c>
      <c r="I9" s="96">
        <v>4414127</v>
      </c>
      <c r="J9" s="96">
        <v>4339219</v>
      </c>
      <c r="K9" s="96">
        <v>4328670</v>
      </c>
      <c r="L9" s="96">
        <v>4426152</v>
      </c>
      <c r="M9" s="96">
        <v>3897293</v>
      </c>
      <c r="N9" s="96">
        <v>3958346</v>
      </c>
      <c r="O9" s="96">
        <v>4162299</v>
      </c>
      <c r="P9" s="96">
        <v>3656806</v>
      </c>
      <c r="Q9" s="96">
        <v>4035354</v>
      </c>
      <c r="R9" s="96">
        <v>3956952</v>
      </c>
      <c r="S9" s="96">
        <v>3781903</v>
      </c>
      <c r="T9" s="96">
        <v>4082481</v>
      </c>
      <c r="U9" s="96">
        <v>4332357</v>
      </c>
      <c r="V9" s="96">
        <v>4368727</v>
      </c>
      <c r="W9" s="96">
        <v>4832432</v>
      </c>
      <c r="X9" s="96">
        <v>4211168</v>
      </c>
      <c r="Y9" s="96">
        <v>3831327</v>
      </c>
      <c r="Z9" s="96">
        <v>3957979</v>
      </c>
      <c r="AA9" s="96">
        <v>4138625</v>
      </c>
      <c r="AB9" s="96">
        <v>3482483</v>
      </c>
      <c r="AC9" s="96">
        <v>4068636</v>
      </c>
      <c r="AD9" s="96">
        <v>3659780</v>
      </c>
      <c r="AE9" s="96">
        <v>3681368</v>
      </c>
      <c r="AF9" s="96">
        <v>4167057</v>
      </c>
      <c r="AG9" s="96">
        <v>4416482</v>
      </c>
      <c r="AH9" s="96">
        <v>4133161</v>
      </c>
      <c r="AI9" s="96">
        <v>4477285</v>
      </c>
      <c r="AJ9" s="96">
        <v>3830531</v>
      </c>
      <c r="AK9" s="96">
        <v>3842812</v>
      </c>
      <c r="AL9" s="96">
        <v>3888603</v>
      </c>
      <c r="AM9" s="96">
        <v>3876473</v>
      </c>
      <c r="AN9" s="96">
        <v>3830983</v>
      </c>
      <c r="AO9" s="96">
        <v>3511335</v>
      </c>
      <c r="AP9" s="96">
        <v>3449190</v>
      </c>
      <c r="AQ9" s="96">
        <v>3806890</v>
      </c>
      <c r="AR9" s="96">
        <v>3769104</v>
      </c>
      <c r="AS9" s="96">
        <v>4260059</v>
      </c>
      <c r="AT9" s="96">
        <v>4354024</v>
      </c>
      <c r="AU9" s="96">
        <v>4302956</v>
      </c>
      <c r="AV9" s="96">
        <v>4050848</v>
      </c>
      <c r="AW9" s="96">
        <v>3863391</v>
      </c>
    </row>
    <row r="10" spans="1:49" x14ac:dyDescent="0.2">
      <c r="A10" s="6" t="s">
        <v>68</v>
      </c>
      <c r="B10" s="6" t="s">
        <v>69</v>
      </c>
      <c r="C10" s="96">
        <v>124619</v>
      </c>
      <c r="D10" s="96">
        <v>172921</v>
      </c>
      <c r="E10" s="96">
        <v>232009</v>
      </c>
      <c r="F10" s="96">
        <v>180476</v>
      </c>
      <c r="G10" s="96">
        <v>245271</v>
      </c>
      <c r="H10" s="96">
        <v>223684</v>
      </c>
      <c r="I10" s="96">
        <v>240703</v>
      </c>
      <c r="J10" s="96">
        <v>286093</v>
      </c>
      <c r="K10" s="96">
        <v>758184</v>
      </c>
      <c r="L10" s="96">
        <v>285057</v>
      </c>
      <c r="M10" s="96">
        <v>270281</v>
      </c>
      <c r="N10" s="96">
        <v>233023</v>
      </c>
      <c r="O10" s="96">
        <v>276067</v>
      </c>
      <c r="P10" s="96">
        <v>218077</v>
      </c>
      <c r="Q10" s="96">
        <v>231170</v>
      </c>
      <c r="R10" s="96">
        <v>220719</v>
      </c>
      <c r="S10" s="96">
        <v>231564</v>
      </c>
      <c r="T10" s="96">
        <v>217192</v>
      </c>
      <c r="U10" s="96">
        <v>229856</v>
      </c>
      <c r="V10" s="96">
        <v>231147</v>
      </c>
      <c r="W10" s="96">
        <v>274965</v>
      </c>
      <c r="X10" s="96">
        <v>274862</v>
      </c>
      <c r="Y10" s="96">
        <v>223721</v>
      </c>
      <c r="Z10" s="96">
        <v>227338</v>
      </c>
      <c r="AA10" s="96">
        <v>212455</v>
      </c>
      <c r="AB10" s="96">
        <v>230409</v>
      </c>
      <c r="AC10" s="96">
        <v>264318</v>
      </c>
      <c r="AD10" s="96">
        <v>145287</v>
      </c>
      <c r="AE10" s="96">
        <v>251389</v>
      </c>
      <c r="AF10" s="96">
        <v>262730</v>
      </c>
      <c r="AG10" s="96">
        <v>278436</v>
      </c>
      <c r="AH10" s="96">
        <v>230151</v>
      </c>
      <c r="AI10" s="96">
        <v>300167</v>
      </c>
      <c r="AJ10" s="96">
        <v>222050</v>
      </c>
      <c r="AK10" s="96">
        <v>227503</v>
      </c>
      <c r="AL10" s="96">
        <v>267834</v>
      </c>
      <c r="AM10" s="96">
        <v>249868</v>
      </c>
      <c r="AN10" s="96">
        <v>209281</v>
      </c>
      <c r="AO10" s="96">
        <v>195178</v>
      </c>
      <c r="AP10" s="96">
        <v>187379</v>
      </c>
      <c r="AQ10" s="96">
        <v>338702</v>
      </c>
      <c r="AR10" s="96">
        <v>105040</v>
      </c>
      <c r="AS10" s="96">
        <v>211508</v>
      </c>
      <c r="AT10" s="96">
        <v>220240</v>
      </c>
      <c r="AU10" s="96">
        <v>261753</v>
      </c>
      <c r="AV10" s="96">
        <v>342304</v>
      </c>
      <c r="AW10" s="96">
        <v>151605</v>
      </c>
    </row>
    <row r="12" spans="1:49" x14ac:dyDescent="0.2">
      <c r="A12" s="176" t="s">
        <v>73</v>
      </c>
      <c r="B12" s="177"/>
      <c r="C12" s="177"/>
      <c r="D12" s="177"/>
      <c r="E12" s="177"/>
      <c r="F12" s="177"/>
      <c r="G12" s="177"/>
      <c r="H12" s="17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</row>
    <row r="13" spans="1:49" ht="81" x14ac:dyDescent="0.2">
      <c r="A13" s="79" t="s">
        <v>59</v>
      </c>
      <c r="C13" s="85" t="str">
        <f t="shared" ref="C13:F13" si="58">C4</f>
        <v>January 2021 Sewer Billed Volume (CCF)</v>
      </c>
      <c r="D13" s="85" t="str">
        <f t="shared" si="58"/>
        <v>February 2021 Sewer Billed Volume (CCF)</v>
      </c>
      <c r="E13" s="85" t="str">
        <f t="shared" si="58"/>
        <v>March 2021 Sewer Billed Volume (CCF)</v>
      </c>
      <c r="F13" s="85" t="str">
        <f t="shared" si="58"/>
        <v>April 2021 Sewer Billed Volume (CCF)</v>
      </c>
      <c r="G13" s="85" t="str">
        <f t="shared" ref="G13:K13" si="59">G4</f>
        <v>May 2021 Sewer Billed Volume (CCF)</v>
      </c>
      <c r="H13" s="85" t="str">
        <f t="shared" si="59"/>
        <v>June 2021 Sewer Billed Volume (CCF)</v>
      </c>
      <c r="I13" s="85" t="str">
        <f t="shared" si="59"/>
        <v>July 2021 Sewer Billed Volume (CCF)</v>
      </c>
      <c r="J13" s="85" t="str">
        <f t="shared" si="59"/>
        <v>August 2021 Sewer Billed Volume (CCF)</v>
      </c>
      <c r="K13" s="85" t="str">
        <f t="shared" si="59"/>
        <v>September 2021 Sewer Billed Volume (CCF)</v>
      </c>
      <c r="L13" s="85" t="str">
        <f t="shared" ref="L13:T13" si="60">L4</f>
        <v>October 2021 Sewer Billed Volume (CCF)</v>
      </c>
      <c r="M13" s="85" t="str">
        <f t="shared" si="60"/>
        <v>November 2021 Sewer Billed Volume (CCF)</v>
      </c>
      <c r="N13" s="85" t="str">
        <f t="shared" si="60"/>
        <v>December 2021 Sewer Billed Volume (CCF)</v>
      </c>
      <c r="O13" s="85" t="str">
        <f t="shared" si="60"/>
        <v>January 2022 Sewer Billed Volume (CCF)</v>
      </c>
      <c r="P13" s="85" t="str">
        <f t="shared" si="60"/>
        <v>February 2022 Sewer Billed Volume (CCF)</v>
      </c>
      <c r="Q13" s="85" t="str">
        <f t="shared" si="60"/>
        <v>March 2022 Sewer Billed Volume (CCF)</v>
      </c>
      <c r="R13" s="85" t="str">
        <f t="shared" si="60"/>
        <v>April 2022 Sewer Billed Volume (CCF)</v>
      </c>
      <c r="S13" s="85" t="str">
        <f t="shared" si="60"/>
        <v>May 2022 Sewer Billed Volume (CCF)</v>
      </c>
      <c r="T13" s="85" t="str">
        <f t="shared" si="60"/>
        <v>June 2022 Sewer Billed Volume (CCF)</v>
      </c>
      <c r="U13" s="85" t="str">
        <f t="shared" ref="U13:Y13" si="61">U4</f>
        <v>July 2022 Sewer Billed Volume (CCF)</v>
      </c>
      <c r="V13" s="85" t="str">
        <f t="shared" si="61"/>
        <v>August 2022 Sewer Billed Volume (CCF)</v>
      </c>
      <c r="W13" s="85" t="str">
        <f t="shared" si="61"/>
        <v>September 2022 Sewer Billed Volume (CCF)</v>
      </c>
      <c r="X13" s="85" t="str">
        <f t="shared" si="61"/>
        <v>October 2022 Sewer Billed Volume (CCF)</v>
      </c>
      <c r="Y13" s="85" t="str">
        <f t="shared" si="61"/>
        <v>November 2022 Sewer Billed Volume (CCF)</v>
      </c>
      <c r="Z13" s="85" t="str">
        <f t="shared" ref="Z13:AJ13" si="62">Z4</f>
        <v>December 2022 Sewer Billed Volume (CCF)</v>
      </c>
      <c r="AA13" s="85" t="str">
        <f t="shared" si="62"/>
        <v>January 2023 Sewer Billed Volume (CCF)</v>
      </c>
      <c r="AB13" s="85" t="str">
        <f t="shared" si="62"/>
        <v>February 2023 Sewer Billed Volume (CCF)</v>
      </c>
      <c r="AC13" s="85" t="str">
        <f t="shared" si="62"/>
        <v>March 2023 Sewer Billed Volume (CCF)</v>
      </c>
      <c r="AD13" s="85" t="str">
        <f t="shared" si="62"/>
        <v>April 2023 Sewer Billed Volume (CCF)</v>
      </c>
      <c r="AE13" s="85" t="str">
        <f t="shared" si="62"/>
        <v>May 2023 Sewer Billed Volume (CCF)</v>
      </c>
      <c r="AF13" s="85" t="str">
        <f t="shared" si="62"/>
        <v>June 2023 Sewer Billed Volume (CCF)</v>
      </c>
      <c r="AG13" s="85" t="str">
        <f t="shared" si="62"/>
        <v>July 2023 Sewer Billed Volume (CCF)</v>
      </c>
      <c r="AH13" s="85" t="str">
        <f t="shared" si="62"/>
        <v>August 2023 Sewer Billed Volume (CCF)</v>
      </c>
      <c r="AI13" s="85" t="str">
        <f t="shared" si="62"/>
        <v>September 2023 Sewer Billed Volume (CCF)</v>
      </c>
      <c r="AJ13" s="85" t="str">
        <f t="shared" si="62"/>
        <v>October 2023 Sewer Billed Volume (CCF)</v>
      </c>
      <c r="AK13" s="85" t="str">
        <f t="shared" ref="AK13:AL13" si="63">AK4</f>
        <v>November 2023 Sewer Billed Volume (CCF)</v>
      </c>
      <c r="AL13" s="85" t="str">
        <f t="shared" si="63"/>
        <v>December 2023 Sewer Billed Volume (CCF)</v>
      </c>
      <c r="AM13" s="85" t="str">
        <f t="shared" ref="AM13:AN13" si="64">AM4</f>
        <v>January 2024 Sewer Billed Volume (CCF)</v>
      </c>
      <c r="AN13" s="85" t="str">
        <f t="shared" si="64"/>
        <v>February 2024 Sewer Billed Volume (CCF)</v>
      </c>
      <c r="AO13" s="85" t="str">
        <f t="shared" ref="AO13:AW13" si="65">AO4</f>
        <v>March 2024 Sewer Billed Volume (CCF)</v>
      </c>
      <c r="AP13" s="85" t="str">
        <f t="shared" si="65"/>
        <v>April 2024 Sewer Billed Volume (CCF)</v>
      </c>
      <c r="AQ13" s="85" t="str">
        <f t="shared" si="65"/>
        <v>May 2024 Sewer Billed Volume (CCF)</v>
      </c>
      <c r="AR13" s="85" t="str">
        <f t="shared" si="65"/>
        <v>June 2024 Sewer Billed Volume (CCF)</v>
      </c>
      <c r="AS13" s="85" t="str">
        <f t="shared" si="65"/>
        <v>July 2024 Sewer Billed Volume (CCF)</v>
      </c>
      <c r="AT13" s="85" t="str">
        <f t="shared" si="65"/>
        <v>August 2024 Sewer Billed Volume (CCF)</v>
      </c>
      <c r="AU13" s="85" t="str">
        <f t="shared" si="65"/>
        <v>September 2024 Sewer Billed Volume (CCF)</v>
      </c>
      <c r="AV13" s="85" t="str">
        <f t="shared" si="65"/>
        <v>October 2024 Sewer Billed Volume (CCF)</v>
      </c>
      <c r="AW13" s="85" t="str">
        <f t="shared" si="65"/>
        <v>November 2024 Sewer Billed Volume (CCF)</v>
      </c>
    </row>
    <row r="14" spans="1:49" x14ac:dyDescent="0.2">
      <c r="A14" s="6" t="s">
        <v>61</v>
      </c>
      <c r="C14" s="15">
        <f t="shared" ref="C14:G14" si="66">SUMIF($A$5:$A$10,$A14,C$5:C$10)</f>
        <v>117956</v>
      </c>
      <c r="D14" s="15">
        <f t="shared" si="66"/>
        <v>116114</v>
      </c>
      <c r="E14" s="15">
        <f t="shared" si="66"/>
        <v>118618</v>
      </c>
      <c r="F14" s="15">
        <f t="shared" si="66"/>
        <v>127312</v>
      </c>
      <c r="G14" s="15">
        <f t="shared" si="66"/>
        <v>110718</v>
      </c>
      <c r="H14" s="15">
        <f t="shared" ref="H14:W16" si="67">SUMIF($A$5:$A$10,$A14,H$5:H$10)</f>
        <v>116831</v>
      </c>
      <c r="I14" s="15">
        <f t="shared" si="67"/>
        <v>129728</v>
      </c>
      <c r="J14" s="15">
        <f t="shared" si="67"/>
        <v>126632</v>
      </c>
      <c r="K14" s="15">
        <f t="shared" si="67"/>
        <v>126626</v>
      </c>
      <c r="L14" s="15">
        <f t="shared" si="67"/>
        <v>136485</v>
      </c>
      <c r="M14" s="15">
        <f t="shared" si="67"/>
        <v>121644</v>
      </c>
      <c r="N14" s="15">
        <f t="shared" si="67"/>
        <v>119900</v>
      </c>
      <c r="O14" s="15">
        <f t="shared" si="67"/>
        <v>115041</v>
      </c>
      <c r="P14" s="15">
        <f t="shared" si="67"/>
        <v>91954</v>
      </c>
      <c r="Q14" s="15">
        <f t="shared" si="67"/>
        <v>90373</v>
      </c>
      <c r="R14" s="15">
        <f t="shared" si="67"/>
        <v>74117</v>
      </c>
      <c r="S14" s="15">
        <f t="shared" si="67"/>
        <v>69737</v>
      </c>
      <c r="T14" s="15">
        <f t="shared" si="67"/>
        <v>72225</v>
      </c>
      <c r="U14" s="15">
        <f t="shared" si="67"/>
        <v>81024</v>
      </c>
      <c r="V14" s="15">
        <f t="shared" si="67"/>
        <v>87666</v>
      </c>
      <c r="W14" s="15">
        <f t="shared" si="67"/>
        <v>110492</v>
      </c>
      <c r="X14" s="15">
        <f t="shared" ref="U14:AP16" si="68">SUMIF($A$5:$A$10,$A14,X$5:X$10)</f>
        <v>102819</v>
      </c>
      <c r="Y14" s="15">
        <f t="shared" si="68"/>
        <v>99814</v>
      </c>
      <c r="Z14" s="15">
        <f t="shared" si="68"/>
        <v>106835</v>
      </c>
      <c r="AA14" s="15">
        <f t="shared" si="68"/>
        <v>120214</v>
      </c>
      <c r="AB14" s="15">
        <f t="shared" si="68"/>
        <v>95609</v>
      </c>
      <c r="AC14" s="15">
        <f t="shared" si="68"/>
        <v>118348</v>
      </c>
      <c r="AD14" s="15">
        <f t="shared" si="68"/>
        <v>99108</v>
      </c>
      <c r="AE14" s="15">
        <f t="shared" si="68"/>
        <v>104514</v>
      </c>
      <c r="AF14" s="15">
        <f t="shared" si="68"/>
        <v>133499</v>
      </c>
      <c r="AG14" s="15">
        <f t="shared" si="68"/>
        <v>145107</v>
      </c>
      <c r="AH14" s="15">
        <f t="shared" si="68"/>
        <v>139399</v>
      </c>
      <c r="AI14" s="15">
        <f t="shared" si="68"/>
        <v>157059</v>
      </c>
      <c r="AJ14" s="15">
        <f t="shared" si="68"/>
        <v>143572</v>
      </c>
      <c r="AK14" s="15">
        <f t="shared" si="68"/>
        <v>152045</v>
      </c>
      <c r="AL14" s="15">
        <f t="shared" si="68"/>
        <v>153575</v>
      </c>
      <c r="AM14" s="15">
        <f t="shared" si="68"/>
        <v>159148</v>
      </c>
      <c r="AN14" s="15">
        <f t="shared" si="68"/>
        <v>191224</v>
      </c>
      <c r="AO14" s="15">
        <f t="shared" si="68"/>
        <v>295463</v>
      </c>
      <c r="AP14" s="15">
        <f t="shared" si="68"/>
        <v>325874</v>
      </c>
      <c r="AQ14" s="15">
        <f t="shared" ref="AP14:AW16" si="69">SUMIF($A$5:$A$10,$A14,AQ$5:AQ$10)</f>
        <v>364001</v>
      </c>
      <c r="AR14" s="15">
        <f t="shared" si="69"/>
        <v>351660</v>
      </c>
      <c r="AS14" s="15">
        <f t="shared" si="69"/>
        <v>378585</v>
      </c>
      <c r="AT14" s="15">
        <f t="shared" si="69"/>
        <v>401093</v>
      </c>
      <c r="AU14" s="15">
        <f t="shared" si="69"/>
        <v>421902</v>
      </c>
      <c r="AV14" s="15">
        <f t="shared" si="69"/>
        <v>411356</v>
      </c>
      <c r="AW14" s="15">
        <f t="shared" si="69"/>
        <v>360271</v>
      </c>
    </row>
    <row r="15" spans="1:49" x14ac:dyDescent="0.2">
      <c r="A15" s="6" t="s">
        <v>63</v>
      </c>
      <c r="C15" s="15">
        <f t="shared" ref="C15:Q16" si="70">SUMIF($A$5:$A$10,$A15,C$5:C$10)</f>
        <v>4051475</v>
      </c>
      <c r="D15" s="15">
        <f t="shared" si="70"/>
        <v>3961652</v>
      </c>
      <c r="E15" s="15">
        <f t="shared" si="70"/>
        <v>4167261</v>
      </c>
      <c r="F15" s="15">
        <f t="shared" si="70"/>
        <v>4325938</v>
      </c>
      <c r="G15" s="15">
        <f t="shared" si="70"/>
        <v>4077287</v>
      </c>
      <c r="H15" s="15">
        <f t="shared" si="70"/>
        <v>4357491</v>
      </c>
      <c r="I15" s="15">
        <f t="shared" si="70"/>
        <v>4806662</v>
      </c>
      <c r="J15" s="15">
        <f t="shared" si="70"/>
        <v>4743211</v>
      </c>
      <c r="K15" s="15">
        <f t="shared" si="70"/>
        <v>4745240</v>
      </c>
      <c r="L15" s="15">
        <f t="shared" si="70"/>
        <v>4831111</v>
      </c>
      <c r="M15" s="15">
        <f t="shared" si="70"/>
        <v>4257100</v>
      </c>
      <c r="N15" s="15">
        <f t="shared" si="70"/>
        <v>4326467</v>
      </c>
      <c r="O15" s="15">
        <f t="shared" si="70"/>
        <v>4556349</v>
      </c>
      <c r="P15" s="15">
        <f t="shared" si="70"/>
        <v>3987565</v>
      </c>
      <c r="Q15" s="15">
        <f t="shared" si="70"/>
        <v>4426576</v>
      </c>
      <c r="R15" s="15">
        <f t="shared" si="67"/>
        <v>4339542</v>
      </c>
      <c r="S15" s="15">
        <f t="shared" si="67"/>
        <v>4185437</v>
      </c>
      <c r="T15" s="15">
        <f t="shared" si="67"/>
        <v>4479328</v>
      </c>
      <c r="U15" s="15">
        <f t="shared" si="68"/>
        <v>4751649</v>
      </c>
      <c r="V15" s="15">
        <f t="shared" si="68"/>
        <v>4803413</v>
      </c>
      <c r="W15" s="15">
        <f t="shared" si="68"/>
        <v>5495521</v>
      </c>
      <c r="X15" s="15">
        <f t="shared" si="68"/>
        <v>4619700</v>
      </c>
      <c r="Y15" s="15">
        <f t="shared" si="68"/>
        <v>4207586</v>
      </c>
      <c r="Z15" s="15">
        <f t="shared" si="68"/>
        <v>4333483</v>
      </c>
      <c r="AA15" s="15">
        <f t="shared" si="68"/>
        <v>4532502</v>
      </c>
      <c r="AB15" s="15">
        <f t="shared" si="68"/>
        <v>3814118</v>
      </c>
      <c r="AC15" s="15">
        <f t="shared" si="68"/>
        <v>4452552</v>
      </c>
      <c r="AD15" s="15">
        <f t="shared" si="68"/>
        <v>4011157</v>
      </c>
      <c r="AE15" s="15">
        <f t="shared" si="68"/>
        <v>4013249</v>
      </c>
      <c r="AF15" s="15">
        <f t="shared" si="68"/>
        <v>4566521</v>
      </c>
      <c r="AG15" s="15">
        <f t="shared" si="68"/>
        <v>4823565</v>
      </c>
      <c r="AH15" s="15">
        <f t="shared" si="68"/>
        <v>4512252</v>
      </c>
      <c r="AI15" s="15">
        <f t="shared" si="68"/>
        <v>4920464</v>
      </c>
      <c r="AJ15" s="15">
        <f t="shared" si="68"/>
        <v>4196039</v>
      </c>
      <c r="AK15" s="15">
        <f t="shared" si="68"/>
        <v>4213920</v>
      </c>
      <c r="AL15" s="15">
        <f t="shared" si="68"/>
        <v>4221525</v>
      </c>
      <c r="AM15" s="15">
        <f t="shared" si="68"/>
        <v>4208206</v>
      </c>
      <c r="AN15" s="15">
        <f t="shared" si="68"/>
        <v>4167543</v>
      </c>
      <c r="AO15" s="15">
        <f t="shared" si="68"/>
        <v>3813227</v>
      </c>
      <c r="AP15" s="15">
        <f t="shared" si="69"/>
        <v>3746155</v>
      </c>
      <c r="AQ15" s="15">
        <f t="shared" si="69"/>
        <v>4134724</v>
      </c>
      <c r="AR15" s="15">
        <f t="shared" si="69"/>
        <v>4104890</v>
      </c>
      <c r="AS15" s="15">
        <f t="shared" si="69"/>
        <v>4644434</v>
      </c>
      <c r="AT15" s="15">
        <f t="shared" si="69"/>
        <v>4740784</v>
      </c>
      <c r="AU15" s="15">
        <f t="shared" si="69"/>
        <v>4684560</v>
      </c>
      <c r="AV15" s="15">
        <f t="shared" si="69"/>
        <v>4405654</v>
      </c>
      <c r="AW15" s="15">
        <f t="shared" si="69"/>
        <v>4204925</v>
      </c>
    </row>
    <row r="16" spans="1:49" x14ac:dyDescent="0.2">
      <c r="A16" s="6" t="s">
        <v>68</v>
      </c>
      <c r="C16" s="15">
        <f t="shared" si="70"/>
        <v>124619</v>
      </c>
      <c r="D16" s="15">
        <f t="shared" si="70"/>
        <v>172921</v>
      </c>
      <c r="E16" s="15">
        <f t="shared" si="70"/>
        <v>232009</v>
      </c>
      <c r="F16" s="15">
        <f t="shared" si="70"/>
        <v>180476</v>
      </c>
      <c r="G16" s="15">
        <f t="shared" si="70"/>
        <v>245271</v>
      </c>
      <c r="H16" s="15">
        <f t="shared" si="70"/>
        <v>223684</v>
      </c>
      <c r="I16" s="15">
        <f t="shared" si="70"/>
        <v>240703</v>
      </c>
      <c r="J16" s="15">
        <f t="shared" si="70"/>
        <v>286093</v>
      </c>
      <c r="K16" s="15">
        <f t="shared" si="70"/>
        <v>758184</v>
      </c>
      <c r="L16" s="15">
        <f t="shared" si="67"/>
        <v>285057</v>
      </c>
      <c r="M16" s="15">
        <f t="shared" si="67"/>
        <v>270281</v>
      </c>
      <c r="N16" s="15">
        <f t="shared" si="67"/>
        <v>233023</v>
      </c>
      <c r="O16" s="15">
        <f t="shared" si="67"/>
        <v>276067</v>
      </c>
      <c r="P16" s="15">
        <f t="shared" si="67"/>
        <v>218077</v>
      </c>
      <c r="Q16" s="15">
        <f t="shared" si="67"/>
        <v>231170</v>
      </c>
      <c r="R16" s="15">
        <f t="shared" si="67"/>
        <v>220719</v>
      </c>
      <c r="S16" s="15">
        <f t="shared" si="67"/>
        <v>231564</v>
      </c>
      <c r="T16" s="15">
        <f t="shared" si="67"/>
        <v>217192</v>
      </c>
      <c r="U16" s="15">
        <f t="shared" si="68"/>
        <v>229856</v>
      </c>
      <c r="V16" s="15">
        <f t="shared" si="68"/>
        <v>231147</v>
      </c>
      <c r="W16" s="15">
        <f t="shared" si="68"/>
        <v>274965</v>
      </c>
      <c r="X16" s="15">
        <f t="shared" si="68"/>
        <v>274862</v>
      </c>
      <c r="Y16" s="15">
        <f t="shared" si="68"/>
        <v>223721</v>
      </c>
      <c r="Z16" s="15">
        <f t="shared" si="68"/>
        <v>227338</v>
      </c>
      <c r="AA16" s="15">
        <f t="shared" si="68"/>
        <v>212455</v>
      </c>
      <c r="AB16" s="15">
        <f t="shared" si="68"/>
        <v>230409</v>
      </c>
      <c r="AC16" s="15">
        <f t="shared" si="68"/>
        <v>264318</v>
      </c>
      <c r="AD16" s="15">
        <f t="shared" si="68"/>
        <v>145287</v>
      </c>
      <c r="AE16" s="15">
        <f t="shared" si="68"/>
        <v>251389</v>
      </c>
      <c r="AF16" s="15">
        <f t="shared" si="68"/>
        <v>262730</v>
      </c>
      <c r="AG16" s="15">
        <f t="shared" si="68"/>
        <v>278436</v>
      </c>
      <c r="AH16" s="15">
        <f t="shared" si="68"/>
        <v>230151</v>
      </c>
      <c r="AI16" s="15">
        <f t="shared" si="68"/>
        <v>300167</v>
      </c>
      <c r="AJ16" s="15">
        <f t="shared" si="68"/>
        <v>222050</v>
      </c>
      <c r="AK16" s="15">
        <f t="shared" si="68"/>
        <v>227503</v>
      </c>
      <c r="AL16" s="15">
        <f t="shared" si="68"/>
        <v>267834</v>
      </c>
      <c r="AM16" s="15">
        <f t="shared" si="68"/>
        <v>249868</v>
      </c>
      <c r="AN16" s="15">
        <f t="shared" si="68"/>
        <v>209281</v>
      </c>
      <c r="AO16" s="15">
        <f t="shared" si="68"/>
        <v>195178</v>
      </c>
      <c r="AP16" s="15">
        <f t="shared" si="69"/>
        <v>187379</v>
      </c>
      <c r="AQ16" s="15">
        <f t="shared" si="69"/>
        <v>338702</v>
      </c>
      <c r="AR16" s="15">
        <f t="shared" si="69"/>
        <v>105040</v>
      </c>
      <c r="AS16" s="15">
        <f t="shared" si="69"/>
        <v>211508</v>
      </c>
      <c r="AT16" s="15">
        <f t="shared" si="69"/>
        <v>220240</v>
      </c>
      <c r="AU16" s="15">
        <f t="shared" si="69"/>
        <v>261753</v>
      </c>
      <c r="AV16" s="15">
        <f t="shared" si="69"/>
        <v>342304</v>
      </c>
      <c r="AW16" s="15">
        <f t="shared" si="69"/>
        <v>151605</v>
      </c>
    </row>
    <row r="18" spans="1:3" x14ac:dyDescent="0.2">
      <c r="A18" s="4"/>
    </row>
    <row r="19" spans="1:3" ht="28.9" customHeight="1" x14ac:dyDescent="0.2">
      <c r="A19" s="180" t="s">
        <v>71</v>
      </c>
      <c r="B19" s="180"/>
      <c r="C19" s="78"/>
    </row>
    <row r="20" spans="1:3" ht="28.15" customHeight="1" x14ac:dyDescent="0.2">
      <c r="A20" s="180" t="s">
        <v>72</v>
      </c>
      <c r="B20" s="180"/>
    </row>
  </sheetData>
  <mergeCells count="4">
    <mergeCell ref="A1:H1"/>
    <mergeCell ref="A12:H12"/>
    <mergeCell ref="A19:B19"/>
    <mergeCell ref="A20:B20"/>
  </mergeCells>
  <pageMargins left="0.7" right="0.7" top="0.75" bottom="0.75" header="0.3" footer="0.3"/>
  <pageSetup fitToHeight="0" orientation="landscape" r:id="rId1"/>
  <headerFooter>
    <oddHeader>&amp;L2025 TAP Reconcilable Rider Reports and Projection Model: &amp;A
January 2024 - November 2024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W12"/>
  <sheetViews>
    <sheetView zoomScaleNormal="100" workbookViewId="0">
      <selection activeCell="AD9" sqref="AD9"/>
    </sheetView>
  </sheetViews>
  <sheetFormatPr defaultColWidth="9.14453125" defaultRowHeight="15" x14ac:dyDescent="0.2"/>
  <cols>
    <col min="1" max="1" width="19.7734375" customWidth="1"/>
    <col min="2" max="25" width="11.56640625" hidden="1" customWidth="1"/>
    <col min="26" max="37" width="11.56640625" customWidth="1"/>
    <col min="38" max="48" width="11.296875" customWidth="1"/>
  </cols>
  <sheetData>
    <row r="1" spans="1:49" x14ac:dyDescent="0.2">
      <c r="A1" s="181" t="str">
        <f>"DR-3A: TAP Participants "</f>
        <v xml:space="preserve">DR-3A: TAP Participants </v>
      </c>
      <c r="B1" s="182"/>
      <c r="C1" s="182"/>
      <c r="D1" s="182"/>
      <c r="E1" s="182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</row>
    <row r="2" spans="1:49" x14ac:dyDescent="0.2">
      <c r="A2" s="86"/>
      <c r="B2" s="87">
        <v>2021</v>
      </c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f>IF(M3=1,L2+1,L2)</f>
        <v>2021</v>
      </c>
      <c r="N2" s="87">
        <f t="shared" ref="N2:S2" si="0">IF(N3=1,M2+1,M2)</f>
        <v>2022</v>
      </c>
      <c r="O2" s="87">
        <f t="shared" si="0"/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ref="T2" si="1">IF(T3=1,S2+1,S2)</f>
        <v>2022</v>
      </c>
      <c r="U2" s="87">
        <f t="shared" ref="U2" si="2">IF(U3=1,T2+1,T2)</f>
        <v>2022</v>
      </c>
      <c r="V2" s="87">
        <f t="shared" ref="V2" si="3">IF(V3=1,U2+1,U2)</f>
        <v>2022</v>
      </c>
      <c r="W2" s="87">
        <f t="shared" ref="W2:X2" si="4">IF(W3=1,V2+1,V2)</f>
        <v>2022</v>
      </c>
      <c r="X2" s="87">
        <f t="shared" si="4"/>
        <v>2022</v>
      </c>
      <c r="Y2" s="87">
        <v>2022</v>
      </c>
      <c r="Z2" s="87">
        <f t="shared" ref="Z2" si="5">IF(Z3=1,Y2+1,Y2)</f>
        <v>2023</v>
      </c>
      <c r="AA2" s="87">
        <f t="shared" ref="AA2" si="6">IF(AA3=1,Z2+1,Z2)</f>
        <v>2023</v>
      </c>
      <c r="AB2" s="87">
        <f t="shared" ref="AB2" si="7">IF(AB3=1,AA2+1,AA2)</f>
        <v>2023</v>
      </c>
      <c r="AC2" s="87">
        <f t="shared" ref="AC2" si="8">IF(AC3=1,AB2+1,AB2)</f>
        <v>2023</v>
      </c>
      <c r="AD2" s="87">
        <f t="shared" ref="AD2" si="9">IF(AD3=1,AC2+1,AC2)</f>
        <v>2023</v>
      </c>
      <c r="AE2" s="87">
        <f t="shared" ref="AE2" si="10">IF(AE3=1,AD2+1,AD2)</f>
        <v>2023</v>
      </c>
      <c r="AF2" s="87">
        <f t="shared" ref="AF2" si="11">IF(AF3=1,AE2+1,AE2)</f>
        <v>2023</v>
      </c>
      <c r="AG2" s="87">
        <f t="shared" ref="AG2" si="12">IF(AG3=1,AF2+1,AF2)</f>
        <v>2023</v>
      </c>
      <c r="AH2" s="87">
        <f t="shared" ref="AH2" si="13">IF(AH3=1,AG2+1,AG2)</f>
        <v>2023</v>
      </c>
      <c r="AI2" s="87">
        <f t="shared" ref="AI2" si="14">IF(AI3=1,AH2+1,AH2)</f>
        <v>2023</v>
      </c>
      <c r="AJ2" s="87">
        <f t="shared" ref="AJ2:AN2" si="15">IF(AJ3=1,AI2+1,AI2)</f>
        <v>2023</v>
      </c>
      <c r="AK2" s="87">
        <f t="shared" si="15"/>
        <v>2023</v>
      </c>
      <c r="AL2" s="87">
        <f t="shared" si="15"/>
        <v>2024</v>
      </c>
      <c r="AM2" s="87">
        <f t="shared" si="15"/>
        <v>2024</v>
      </c>
      <c r="AN2" s="87">
        <f t="shared" si="15"/>
        <v>2024</v>
      </c>
      <c r="AO2" s="87">
        <f t="shared" ref="AO2" si="16">IF(AO3=1,AN2+1,AN2)</f>
        <v>2024</v>
      </c>
      <c r="AP2" s="87">
        <f t="shared" ref="AP2" si="17">IF(AP3=1,AO2+1,AO2)</f>
        <v>2024</v>
      </c>
      <c r="AQ2" s="87">
        <f t="shared" ref="AQ2" si="18">IF(AQ3=1,AP2+1,AP2)</f>
        <v>2024</v>
      </c>
      <c r="AR2" s="87">
        <f t="shared" ref="AR2" si="19">IF(AR3=1,AQ2+1,AQ2)</f>
        <v>2024</v>
      </c>
      <c r="AS2" s="87">
        <f t="shared" ref="AS2" si="20">IF(AS3=1,AR2+1,AR2)</f>
        <v>2024</v>
      </c>
      <c r="AT2" s="87">
        <f t="shared" ref="AT2" si="21">IF(AT3=1,AS2+1,AS2)</f>
        <v>2024</v>
      </c>
      <c r="AU2" s="87">
        <f t="shared" ref="AU2" si="22">IF(AU3=1,AT2+1,AT2)</f>
        <v>2024</v>
      </c>
      <c r="AV2" s="87">
        <f t="shared" ref="AV2" si="23">IF(AV3=1,AU2+1,AU2)</f>
        <v>2024</v>
      </c>
    </row>
    <row r="3" spans="1:49" x14ac:dyDescent="0.2">
      <c r="A3" s="86"/>
      <c r="B3" s="87">
        <v>1</v>
      </c>
      <c r="C3" s="87">
        <v>2</v>
      </c>
      <c r="D3" s="87">
        <v>3</v>
      </c>
      <c r="E3" s="87">
        <v>4</v>
      </c>
      <c r="F3" s="87">
        <v>5</v>
      </c>
      <c r="G3" s="87">
        <v>6</v>
      </c>
      <c r="H3" s="87">
        <v>7</v>
      </c>
      <c r="I3" s="87">
        <v>8</v>
      </c>
      <c r="J3" s="87">
        <v>9</v>
      </c>
      <c r="K3" s="87">
        <v>10</v>
      </c>
      <c r="L3" s="87">
        <v>11</v>
      </c>
      <c r="M3" s="87">
        <f>IF(L3&lt;12,L3+1,1)</f>
        <v>12</v>
      </c>
      <c r="N3" s="87">
        <f t="shared" ref="N3:S3" si="24">IF(M3&lt;12,M3+1,1)</f>
        <v>1</v>
      </c>
      <c r="O3" s="87">
        <f t="shared" si="24"/>
        <v>2</v>
      </c>
      <c r="P3" s="87">
        <f t="shared" si="24"/>
        <v>3</v>
      </c>
      <c r="Q3" s="87">
        <f t="shared" si="24"/>
        <v>4</v>
      </c>
      <c r="R3" s="87">
        <f t="shared" si="24"/>
        <v>5</v>
      </c>
      <c r="S3" s="87">
        <f t="shared" si="24"/>
        <v>6</v>
      </c>
      <c r="T3" s="87">
        <f t="shared" ref="T3" si="25">IF(S3&lt;12,S3+1,1)</f>
        <v>7</v>
      </c>
      <c r="U3" s="87">
        <f t="shared" ref="U3" si="26">IF(T3&lt;12,T3+1,1)</f>
        <v>8</v>
      </c>
      <c r="V3" s="87">
        <f t="shared" ref="V3" si="27">IF(U3&lt;12,U3+1,1)</f>
        <v>9</v>
      </c>
      <c r="W3" s="87">
        <f t="shared" ref="W3:X3" si="28">IF(V3&lt;12,V3+1,1)</f>
        <v>10</v>
      </c>
      <c r="X3" s="87">
        <f t="shared" si="28"/>
        <v>11</v>
      </c>
      <c r="Y3" s="87">
        <f>IF(X3&lt;12,X3+1,1)</f>
        <v>12</v>
      </c>
      <c r="Z3" s="87">
        <f t="shared" ref="Z3" si="29">IF(Y3&lt;12,Y3+1,1)</f>
        <v>1</v>
      </c>
      <c r="AA3" s="87">
        <f t="shared" ref="AA3" si="30">IF(Z3&lt;12,Z3+1,1)</f>
        <v>2</v>
      </c>
      <c r="AB3" s="87">
        <f t="shared" ref="AB3" si="31">IF(AA3&lt;12,AA3+1,1)</f>
        <v>3</v>
      </c>
      <c r="AC3" s="87">
        <f t="shared" ref="AC3" si="32">IF(AB3&lt;12,AB3+1,1)</f>
        <v>4</v>
      </c>
      <c r="AD3" s="87">
        <f t="shared" ref="AD3" si="33">IF(AC3&lt;12,AC3+1,1)</f>
        <v>5</v>
      </c>
      <c r="AE3" s="87">
        <f t="shared" ref="AE3" si="34">IF(AD3&lt;12,AD3+1,1)</f>
        <v>6</v>
      </c>
      <c r="AF3" s="87">
        <f t="shared" ref="AF3" si="35">IF(AE3&lt;12,AE3+1,1)</f>
        <v>7</v>
      </c>
      <c r="AG3" s="87">
        <f t="shared" ref="AG3" si="36">IF(AF3&lt;12,AF3+1,1)</f>
        <v>8</v>
      </c>
      <c r="AH3" s="87">
        <f t="shared" ref="AH3" si="37">IF(AG3&lt;12,AG3+1,1)</f>
        <v>9</v>
      </c>
      <c r="AI3" s="87">
        <f t="shared" ref="AI3" si="38">IF(AH3&lt;12,AH3+1,1)</f>
        <v>10</v>
      </c>
      <c r="AJ3" s="87">
        <f t="shared" ref="AJ3:AN3" si="39">IF(AI3&lt;12,AI3+1,1)</f>
        <v>11</v>
      </c>
      <c r="AK3" s="87">
        <f t="shared" si="39"/>
        <v>12</v>
      </c>
      <c r="AL3" s="87">
        <f t="shared" si="39"/>
        <v>1</v>
      </c>
      <c r="AM3" s="87">
        <f t="shared" si="39"/>
        <v>2</v>
      </c>
      <c r="AN3" s="87">
        <f t="shared" si="39"/>
        <v>3</v>
      </c>
      <c r="AO3" s="87">
        <f t="shared" ref="AO3" si="40">IF(AN3&lt;12,AN3+1,1)</f>
        <v>4</v>
      </c>
      <c r="AP3" s="87">
        <f t="shared" ref="AP3" si="41">IF(AO3&lt;12,AO3+1,1)</f>
        <v>5</v>
      </c>
      <c r="AQ3" s="87">
        <f t="shared" ref="AQ3" si="42">IF(AP3&lt;12,AP3+1,1)</f>
        <v>6</v>
      </c>
      <c r="AR3" s="87">
        <f t="shared" ref="AR3" si="43">IF(AQ3&lt;12,AQ3+1,1)</f>
        <v>7</v>
      </c>
      <c r="AS3" s="87">
        <f t="shared" ref="AS3" si="44">IF(AR3&lt;12,AR3+1,1)</f>
        <v>8</v>
      </c>
      <c r="AT3" s="87">
        <f t="shared" ref="AT3" si="45">IF(AS3&lt;12,AS3+1,1)</f>
        <v>9</v>
      </c>
      <c r="AU3" s="87">
        <f t="shared" ref="AU3" si="46">IF(AT3&lt;12,AT3+1,1)</f>
        <v>10</v>
      </c>
      <c r="AV3" s="87">
        <f t="shared" ref="AV3" si="47">IF(AU3&lt;12,AU3+1,1)</f>
        <v>11</v>
      </c>
    </row>
    <row r="4" spans="1:49" ht="41.25" x14ac:dyDescent="0.2">
      <c r="A4" s="72" t="s">
        <v>74</v>
      </c>
      <c r="B4" s="88" t="str">
        <f t="shared" ref="B4:E4" si="48">TEXT(B3*29, "Mmmm")&amp;" "&amp;B2&amp;" Participants"</f>
        <v>January 2021 Participants</v>
      </c>
      <c r="C4" s="88" t="str">
        <f t="shared" si="48"/>
        <v>February 2021 Participants</v>
      </c>
      <c r="D4" s="88" t="str">
        <f t="shared" si="48"/>
        <v>March 2021 Participants</v>
      </c>
      <c r="E4" s="88" t="str">
        <f t="shared" si="48"/>
        <v>April 2021 Participants</v>
      </c>
      <c r="F4" s="88" t="str">
        <f t="shared" ref="F4:S4" si="49">TEXT(F3*29, "Mmmm")&amp;" "&amp;F2&amp;" Participants"</f>
        <v>May 2021 Participants</v>
      </c>
      <c r="G4" s="88" t="str">
        <f t="shared" si="49"/>
        <v>June 2021 Participants</v>
      </c>
      <c r="H4" s="88" t="str">
        <f t="shared" si="49"/>
        <v>July 2021 Participants</v>
      </c>
      <c r="I4" s="88" t="str">
        <f t="shared" si="49"/>
        <v>August 2021 Participants</v>
      </c>
      <c r="J4" s="88" t="str">
        <f t="shared" si="49"/>
        <v>September 2021 Participants</v>
      </c>
      <c r="K4" s="88" t="str">
        <f t="shared" si="49"/>
        <v>October 2021 Participants</v>
      </c>
      <c r="L4" s="88" t="str">
        <f t="shared" si="49"/>
        <v>November 2021 Participants</v>
      </c>
      <c r="M4" s="88" t="str">
        <f t="shared" si="49"/>
        <v>December 2021 Participants</v>
      </c>
      <c r="N4" s="88" t="str">
        <f t="shared" si="49"/>
        <v>January 2022 Participants</v>
      </c>
      <c r="O4" s="88" t="str">
        <f t="shared" si="49"/>
        <v>February 2022 Participants</v>
      </c>
      <c r="P4" s="88" t="str">
        <f t="shared" si="49"/>
        <v>March 2022 Participants</v>
      </c>
      <c r="Q4" s="88" t="str">
        <f t="shared" si="49"/>
        <v>April 2022 Participants</v>
      </c>
      <c r="R4" s="88" t="str">
        <f t="shared" si="49"/>
        <v>May 2022 Participants</v>
      </c>
      <c r="S4" s="88" t="str">
        <f t="shared" si="49"/>
        <v>June 2022 Participants</v>
      </c>
      <c r="T4" s="88" t="str">
        <f t="shared" ref="T4:W4" si="50">TEXT(T3*29, "Mmmm")&amp;" "&amp;T2&amp;" Participants"</f>
        <v>July 2022 Participants</v>
      </c>
      <c r="U4" s="88" t="str">
        <f t="shared" si="50"/>
        <v>August 2022 Participants</v>
      </c>
      <c r="V4" s="88" t="str">
        <f t="shared" si="50"/>
        <v>September 2022 Participants</v>
      </c>
      <c r="W4" s="88" t="str">
        <f t="shared" si="50"/>
        <v>October 2022 Participants</v>
      </c>
      <c r="X4" s="88" t="str">
        <f t="shared" ref="X4:AI4" si="51">TEXT(X3*29, "Mmmm")&amp;" "&amp;X2&amp;" Participants"</f>
        <v>November 2022 Participants</v>
      </c>
      <c r="Y4" s="88" t="str">
        <f t="shared" si="51"/>
        <v>December 2022 Participants</v>
      </c>
      <c r="Z4" s="88" t="str">
        <f t="shared" si="51"/>
        <v>January 2023 Participants</v>
      </c>
      <c r="AA4" s="88" t="str">
        <f t="shared" si="51"/>
        <v>February 2023 Participants</v>
      </c>
      <c r="AB4" s="88" t="str">
        <f t="shared" si="51"/>
        <v>March 2023 Participants</v>
      </c>
      <c r="AC4" s="88" t="str">
        <f t="shared" si="51"/>
        <v>April 2023 Participants</v>
      </c>
      <c r="AD4" s="88" t="str">
        <f t="shared" si="51"/>
        <v>May 2023 Participants</v>
      </c>
      <c r="AE4" s="88" t="str">
        <f t="shared" si="51"/>
        <v>June 2023 Participants</v>
      </c>
      <c r="AF4" s="88" t="str">
        <f t="shared" si="51"/>
        <v>July 2023 Participants</v>
      </c>
      <c r="AG4" s="88" t="str">
        <f t="shared" si="51"/>
        <v>August 2023 Participants</v>
      </c>
      <c r="AH4" s="88" t="str">
        <f t="shared" si="51"/>
        <v>September 2023 Participants</v>
      </c>
      <c r="AI4" s="88" t="str">
        <f t="shared" si="51"/>
        <v>October 2023 Participants</v>
      </c>
      <c r="AJ4" s="88" t="str">
        <f t="shared" ref="AJ4:AK4" si="52">TEXT(AJ3*29, "Mmmm")&amp;" "&amp;AJ2&amp;" Participants"</f>
        <v>November 2023 Participants</v>
      </c>
      <c r="AK4" s="88" t="str">
        <f t="shared" si="52"/>
        <v>December 2023 Participants</v>
      </c>
      <c r="AL4" s="88" t="str">
        <f t="shared" ref="AL4:AM4" si="53">TEXT(AL3*29, "Mmmm")&amp;" "&amp;AL2&amp;" Participants"</f>
        <v>January 2024 Participants</v>
      </c>
      <c r="AM4" s="88" t="str">
        <f t="shared" si="53"/>
        <v>February 2024 Participants</v>
      </c>
      <c r="AN4" s="88" t="str">
        <f t="shared" ref="AN4:AV4" si="54">TEXT(AN3*29, "Mmmm")&amp;" "&amp;AN2&amp;" Participants"</f>
        <v>March 2024 Participants</v>
      </c>
      <c r="AO4" s="88" t="str">
        <f t="shared" si="54"/>
        <v>April 2024 Participants</v>
      </c>
      <c r="AP4" s="88" t="str">
        <f t="shared" si="54"/>
        <v>May 2024 Participants</v>
      </c>
      <c r="AQ4" s="88" t="str">
        <f t="shared" si="54"/>
        <v>June 2024 Participants</v>
      </c>
      <c r="AR4" s="88" t="str">
        <f t="shared" si="54"/>
        <v>July 2024 Participants</v>
      </c>
      <c r="AS4" s="88" t="str">
        <f t="shared" si="54"/>
        <v>August 2024 Participants</v>
      </c>
      <c r="AT4" s="88" t="str">
        <f t="shared" si="54"/>
        <v>September 2024 Participants</v>
      </c>
      <c r="AU4" s="88" t="str">
        <f t="shared" si="54"/>
        <v>October 2024 Participants</v>
      </c>
      <c r="AV4" s="88" t="str">
        <f t="shared" si="54"/>
        <v>November 2024 Participants</v>
      </c>
    </row>
    <row r="5" spans="1:49" x14ac:dyDescent="0.2">
      <c r="A5" t="s">
        <v>64</v>
      </c>
      <c r="B5" s="75">
        <v>4178</v>
      </c>
      <c r="C5" s="75">
        <v>4257</v>
      </c>
      <c r="D5" s="75">
        <v>4505</v>
      </c>
      <c r="E5" s="75">
        <v>4552</v>
      </c>
      <c r="F5" s="75">
        <v>4602</v>
      </c>
      <c r="G5" s="75">
        <v>4641</v>
      </c>
      <c r="H5" s="75">
        <v>4663</v>
      </c>
      <c r="I5" s="75">
        <v>4640</v>
      </c>
      <c r="J5" s="75">
        <v>4453</v>
      </c>
      <c r="K5" s="75">
        <v>4719</v>
      </c>
      <c r="L5" s="75">
        <v>4731</v>
      </c>
      <c r="M5" s="75">
        <v>4791</v>
      </c>
      <c r="N5" s="75">
        <v>4481</v>
      </c>
      <c r="O5" s="75">
        <v>4011</v>
      </c>
      <c r="P5" s="75">
        <v>3989</v>
      </c>
      <c r="Q5" s="75">
        <v>3564</v>
      </c>
      <c r="R5" s="75">
        <v>3284</v>
      </c>
      <c r="S5" s="75">
        <v>3290</v>
      </c>
      <c r="T5" s="75">
        <v>3507</v>
      </c>
      <c r="U5" s="75">
        <v>3768</v>
      </c>
      <c r="V5" s="75">
        <v>4001</v>
      </c>
      <c r="W5" s="75">
        <v>4152</v>
      </c>
      <c r="X5" s="75">
        <v>4284</v>
      </c>
      <c r="Y5" s="75">
        <v>4395</v>
      </c>
      <c r="Z5" s="75">
        <v>4466</v>
      </c>
      <c r="AA5" s="75">
        <v>4211</v>
      </c>
      <c r="AB5" s="75">
        <v>4626</v>
      </c>
      <c r="AC5" s="75">
        <v>4370</v>
      </c>
      <c r="AD5" s="75">
        <v>4826</v>
      </c>
      <c r="AE5" s="75">
        <v>5034</v>
      </c>
      <c r="AF5" s="75">
        <v>5176</v>
      </c>
      <c r="AG5" s="75">
        <v>5326</v>
      </c>
      <c r="AH5" s="75">
        <v>5432</v>
      </c>
      <c r="AI5" s="75">
        <v>5554</v>
      </c>
      <c r="AJ5" s="75">
        <v>5667</v>
      </c>
      <c r="AK5" s="75">
        <v>5773</v>
      </c>
      <c r="AL5" s="75">
        <v>5877</v>
      </c>
      <c r="AM5" s="75">
        <v>6639</v>
      </c>
      <c r="AN5" s="75">
        <v>8654</v>
      </c>
      <c r="AO5" s="75">
        <v>9021</v>
      </c>
      <c r="AP5" s="75">
        <v>9122</v>
      </c>
      <c r="AQ5" s="75">
        <v>8609</v>
      </c>
      <c r="AR5" s="75">
        <v>9252</v>
      </c>
      <c r="AS5" s="75">
        <v>9315</v>
      </c>
      <c r="AT5" s="75">
        <v>9325</v>
      </c>
      <c r="AU5" s="75">
        <v>9424</v>
      </c>
      <c r="AV5" s="75">
        <v>8882</v>
      </c>
      <c r="AW5" s="75"/>
    </row>
    <row r="6" spans="1:49" x14ac:dyDescent="0.2">
      <c r="A6" t="s">
        <v>75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  <c r="Y6" s="75">
        <v>0</v>
      </c>
      <c r="Z6" s="75">
        <v>0</v>
      </c>
      <c r="AA6" s="75">
        <v>0</v>
      </c>
      <c r="AB6" s="75">
        <v>0</v>
      </c>
      <c r="AC6" s="75">
        <v>0</v>
      </c>
      <c r="AD6" s="75">
        <v>0</v>
      </c>
      <c r="AE6" s="75">
        <v>0</v>
      </c>
      <c r="AF6" s="75">
        <v>0</v>
      </c>
      <c r="AG6" s="75">
        <v>0</v>
      </c>
      <c r="AH6" s="75">
        <v>0</v>
      </c>
      <c r="AI6" s="75">
        <v>0</v>
      </c>
      <c r="AJ6" s="75">
        <v>0</v>
      </c>
      <c r="AK6" s="75">
        <v>0</v>
      </c>
      <c r="AL6" s="75">
        <v>0</v>
      </c>
      <c r="AM6" s="75">
        <v>0</v>
      </c>
      <c r="AN6" s="75">
        <v>0</v>
      </c>
      <c r="AO6" s="75">
        <v>0</v>
      </c>
      <c r="AP6" s="75">
        <v>0</v>
      </c>
      <c r="AQ6" s="75">
        <v>0</v>
      </c>
      <c r="AR6" s="75">
        <v>0</v>
      </c>
      <c r="AS6" s="75">
        <v>0</v>
      </c>
      <c r="AT6" s="75">
        <v>0</v>
      </c>
      <c r="AU6" s="75">
        <v>0</v>
      </c>
      <c r="AV6" s="75">
        <v>0</v>
      </c>
      <c r="AW6" s="75"/>
    </row>
    <row r="7" spans="1:49" x14ac:dyDescent="0.2">
      <c r="A7" t="s">
        <v>76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0</v>
      </c>
      <c r="AG7" s="75">
        <v>0</v>
      </c>
      <c r="AH7" s="75">
        <v>0</v>
      </c>
      <c r="AI7" s="75">
        <v>0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0</v>
      </c>
      <c r="AP7" s="75">
        <v>0</v>
      </c>
      <c r="AQ7" s="75">
        <v>0</v>
      </c>
      <c r="AR7" s="75">
        <v>0</v>
      </c>
      <c r="AS7" s="75">
        <v>0</v>
      </c>
      <c r="AT7" s="75">
        <v>0</v>
      </c>
      <c r="AU7" s="75">
        <v>0</v>
      </c>
      <c r="AV7" s="75">
        <v>0</v>
      </c>
      <c r="AW7" s="75"/>
    </row>
    <row r="8" spans="1:49" x14ac:dyDescent="0.2">
      <c r="A8" t="s">
        <v>77</v>
      </c>
      <c r="B8" s="75">
        <v>11235</v>
      </c>
      <c r="C8" s="75">
        <v>11506</v>
      </c>
      <c r="D8" s="75">
        <v>12113</v>
      </c>
      <c r="E8" s="75">
        <v>12130</v>
      </c>
      <c r="F8" s="75">
        <v>12102</v>
      </c>
      <c r="G8" s="75">
        <v>12021</v>
      </c>
      <c r="H8" s="75">
        <v>12033</v>
      </c>
      <c r="I8" s="75">
        <v>11991</v>
      </c>
      <c r="J8" s="75">
        <v>11329</v>
      </c>
      <c r="K8" s="75">
        <v>12197</v>
      </c>
      <c r="L8" s="75">
        <v>12217</v>
      </c>
      <c r="M8" s="75">
        <v>12261</v>
      </c>
      <c r="N8" s="75">
        <v>10674</v>
      </c>
      <c r="O8" s="75">
        <v>9247</v>
      </c>
      <c r="P8" s="75">
        <v>8786</v>
      </c>
      <c r="Q8" s="75">
        <v>7326</v>
      </c>
      <c r="R8" s="75">
        <v>6789</v>
      </c>
      <c r="S8" s="75">
        <v>6718</v>
      </c>
      <c r="T8" s="75">
        <v>7369</v>
      </c>
      <c r="U8" s="75">
        <v>8218</v>
      </c>
      <c r="V8" s="75">
        <v>9047</v>
      </c>
      <c r="W8" s="75">
        <v>9520</v>
      </c>
      <c r="X8" s="75">
        <v>9915</v>
      </c>
      <c r="Y8" s="75">
        <v>10192</v>
      </c>
      <c r="Z8" s="75">
        <v>10469</v>
      </c>
      <c r="AA8" s="75">
        <v>9743</v>
      </c>
      <c r="AB8" s="75">
        <v>10929</v>
      </c>
      <c r="AC8" s="75">
        <v>10431</v>
      </c>
      <c r="AD8" s="75">
        <v>11506</v>
      </c>
      <c r="AE8" s="75">
        <v>13387</v>
      </c>
      <c r="AF8" s="75">
        <v>13837</v>
      </c>
      <c r="AG8" s="75">
        <v>14269</v>
      </c>
      <c r="AH8" s="75">
        <v>14653</v>
      </c>
      <c r="AI8" s="75">
        <v>15134</v>
      </c>
      <c r="AJ8" s="75">
        <v>15477</v>
      </c>
      <c r="AK8" s="75">
        <v>15641</v>
      </c>
      <c r="AL8" s="75">
        <v>15977</v>
      </c>
      <c r="AM8" s="75">
        <v>21471</v>
      </c>
      <c r="AN8" s="75">
        <v>40598</v>
      </c>
      <c r="AO8" s="75">
        <v>48134</v>
      </c>
      <c r="AP8" s="75">
        <v>48480</v>
      </c>
      <c r="AQ8" s="75">
        <v>45576</v>
      </c>
      <c r="AR8" s="75">
        <v>49092</v>
      </c>
      <c r="AS8" s="75">
        <v>49303</v>
      </c>
      <c r="AT8" s="75">
        <v>49980</v>
      </c>
      <c r="AU8" s="75">
        <v>50801</v>
      </c>
      <c r="AV8" s="75">
        <v>47582</v>
      </c>
      <c r="AW8" s="75"/>
    </row>
    <row r="9" spans="1:49" x14ac:dyDescent="0.2">
      <c r="A9" s="153" t="s">
        <v>78</v>
      </c>
      <c r="B9" s="154">
        <f t="shared" ref="B9:X9" si="55">SUM(B5:B8)</f>
        <v>15413</v>
      </c>
      <c r="C9" s="154">
        <f t="shared" si="55"/>
        <v>15763</v>
      </c>
      <c r="D9" s="154">
        <f t="shared" si="55"/>
        <v>16618</v>
      </c>
      <c r="E9" s="154">
        <f t="shared" si="55"/>
        <v>16682</v>
      </c>
      <c r="F9" s="154">
        <f t="shared" si="55"/>
        <v>16704</v>
      </c>
      <c r="G9" s="154">
        <f t="shared" si="55"/>
        <v>16662</v>
      </c>
      <c r="H9" s="154">
        <f t="shared" si="55"/>
        <v>16696</v>
      </c>
      <c r="I9" s="154">
        <f t="shared" si="55"/>
        <v>16631</v>
      </c>
      <c r="J9" s="154">
        <f t="shared" si="55"/>
        <v>15782</v>
      </c>
      <c r="K9" s="154">
        <f t="shared" si="55"/>
        <v>16916</v>
      </c>
      <c r="L9" s="154">
        <f t="shared" si="55"/>
        <v>16948</v>
      </c>
      <c r="M9" s="154">
        <f t="shared" si="55"/>
        <v>17052</v>
      </c>
      <c r="N9" s="154">
        <f t="shared" si="55"/>
        <v>15155</v>
      </c>
      <c r="O9" s="154">
        <f t="shared" si="55"/>
        <v>13258</v>
      </c>
      <c r="P9" s="154">
        <f t="shared" si="55"/>
        <v>12775</v>
      </c>
      <c r="Q9" s="154">
        <f t="shared" si="55"/>
        <v>10890</v>
      </c>
      <c r="R9" s="154">
        <f t="shared" si="55"/>
        <v>10073</v>
      </c>
      <c r="S9" s="154">
        <f t="shared" si="55"/>
        <v>10008</v>
      </c>
      <c r="T9" s="154">
        <f t="shared" si="55"/>
        <v>10876</v>
      </c>
      <c r="U9" s="154">
        <f t="shared" si="55"/>
        <v>11986</v>
      </c>
      <c r="V9" s="154">
        <f t="shared" si="55"/>
        <v>13048</v>
      </c>
      <c r="W9" s="154">
        <f t="shared" si="55"/>
        <v>13672</v>
      </c>
      <c r="X9" s="154">
        <f t="shared" si="55"/>
        <v>14199</v>
      </c>
      <c r="Y9" s="154">
        <f t="shared" ref="Y9:AJ9" si="56">SUM(Y5:Y8)</f>
        <v>14587</v>
      </c>
      <c r="Z9" s="154">
        <f t="shared" si="56"/>
        <v>14935</v>
      </c>
      <c r="AA9" s="154">
        <f t="shared" si="56"/>
        <v>13954</v>
      </c>
      <c r="AB9" s="154">
        <f t="shared" si="56"/>
        <v>15555</v>
      </c>
      <c r="AC9" s="154">
        <f t="shared" si="56"/>
        <v>14801</v>
      </c>
      <c r="AD9" s="154">
        <f t="shared" si="56"/>
        <v>16332</v>
      </c>
      <c r="AE9" s="154">
        <f t="shared" si="56"/>
        <v>18421</v>
      </c>
      <c r="AF9" s="154">
        <f t="shared" si="56"/>
        <v>19013</v>
      </c>
      <c r="AG9" s="154">
        <f t="shared" si="56"/>
        <v>19595</v>
      </c>
      <c r="AH9" s="154">
        <f t="shared" si="56"/>
        <v>20085</v>
      </c>
      <c r="AI9" s="154">
        <f t="shared" si="56"/>
        <v>20688</v>
      </c>
      <c r="AJ9" s="154">
        <f t="shared" si="56"/>
        <v>21144</v>
      </c>
      <c r="AK9" s="154">
        <f t="shared" ref="AK9:AL9" si="57">SUM(AK5:AK8)</f>
        <v>21414</v>
      </c>
      <c r="AL9" s="154">
        <f t="shared" si="57"/>
        <v>21854</v>
      </c>
      <c r="AM9" s="154">
        <f t="shared" ref="AM9:AV9" si="58">SUM(AM5:AM8)</f>
        <v>28110</v>
      </c>
      <c r="AN9" s="154">
        <f t="shared" si="58"/>
        <v>49252</v>
      </c>
      <c r="AO9" s="154">
        <f t="shared" si="58"/>
        <v>57155</v>
      </c>
      <c r="AP9" s="154">
        <f t="shared" si="58"/>
        <v>57602</v>
      </c>
      <c r="AQ9" s="154">
        <f t="shared" si="58"/>
        <v>54185</v>
      </c>
      <c r="AR9" s="154">
        <f t="shared" si="58"/>
        <v>58344</v>
      </c>
      <c r="AS9" s="154">
        <f t="shared" si="58"/>
        <v>58618</v>
      </c>
      <c r="AT9" s="154">
        <f t="shared" si="58"/>
        <v>59305</v>
      </c>
      <c r="AU9" s="154">
        <f t="shared" si="58"/>
        <v>60225</v>
      </c>
      <c r="AV9" s="154">
        <f t="shared" si="58"/>
        <v>56464</v>
      </c>
    </row>
    <row r="11" spans="1:49" x14ac:dyDescent="0.2">
      <c r="A11" t="s">
        <v>79</v>
      </c>
    </row>
    <row r="12" spans="1:49" x14ac:dyDescent="0.2">
      <c r="A12" t="s">
        <v>80</v>
      </c>
    </row>
  </sheetData>
  <mergeCells count="1">
    <mergeCell ref="A1:E1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AV13"/>
  <sheetViews>
    <sheetView zoomScale="85" zoomScaleNormal="85" workbookViewId="0">
      <selection activeCell="AD30" sqref="AD30"/>
    </sheetView>
  </sheetViews>
  <sheetFormatPr defaultColWidth="9.14453125" defaultRowHeight="15" x14ac:dyDescent="0.2"/>
  <cols>
    <col min="1" max="1" width="16.27734375" customWidth="1"/>
    <col min="2" max="25" width="13.5859375" hidden="1" customWidth="1"/>
    <col min="26" max="37" width="13.5859375" customWidth="1"/>
    <col min="38" max="40" width="13.5859375" bestFit="1" customWidth="1"/>
    <col min="41" max="41" width="16.27734375" customWidth="1"/>
    <col min="42" max="42" width="14.125" customWidth="1"/>
    <col min="43" max="43" width="14.52734375" customWidth="1"/>
    <col min="44" max="45" width="13.5859375" customWidth="1"/>
    <col min="46" max="46" width="14.52734375" customWidth="1"/>
    <col min="47" max="47" width="13.5859375" customWidth="1"/>
    <col min="48" max="48" width="14.2578125" customWidth="1"/>
  </cols>
  <sheetData>
    <row r="1" spans="1:48" x14ac:dyDescent="0.2">
      <c r="A1" s="181" t="str">
        <f>"DR-4: TAP Discount "</f>
        <v xml:space="preserve">DR-4: TAP Discount </v>
      </c>
      <c r="B1" s="182"/>
      <c r="C1" s="182"/>
      <c r="D1" s="182"/>
      <c r="E1" s="182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</row>
    <row r="2" spans="1:48" x14ac:dyDescent="0.2">
      <c r="A2" s="86"/>
      <c r="B2" s="87">
        <v>2021</v>
      </c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f>IF(M3=1,L2+1,L2)</f>
        <v>2021</v>
      </c>
      <c r="N2" s="87">
        <f t="shared" ref="N2:S2" si="0">IF(N3=1,M2+1,M2)</f>
        <v>2022</v>
      </c>
      <c r="O2" s="87">
        <f t="shared" si="0"/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ref="T2" si="1">IF(T3=1,S2+1,S2)</f>
        <v>2022</v>
      </c>
      <c r="U2" s="87">
        <f t="shared" ref="U2" si="2">IF(U3=1,T2+1,T2)</f>
        <v>2022</v>
      </c>
      <c r="V2" s="87">
        <f t="shared" ref="V2" si="3">IF(V3=1,U2+1,U2)</f>
        <v>2022</v>
      </c>
      <c r="W2" s="87">
        <f t="shared" ref="W2" si="4">IF(W3=1,V2+1,V2)</f>
        <v>2022</v>
      </c>
      <c r="X2" s="87">
        <f t="shared" ref="X2:Y2" si="5">IF(X3=1,W2+1,W2)</f>
        <v>2022</v>
      </c>
      <c r="Y2" s="87">
        <f t="shared" si="5"/>
        <v>2022</v>
      </c>
      <c r="Z2" s="87">
        <f t="shared" ref="Z2" si="6">IF(Z3=1,Y2+1,Y2)</f>
        <v>2023</v>
      </c>
      <c r="AA2" s="87">
        <f t="shared" ref="AA2" si="7">IF(AA3=1,Z2+1,Z2)</f>
        <v>2023</v>
      </c>
      <c r="AB2" s="87">
        <f t="shared" ref="AB2" si="8">IF(AB3=1,AA2+1,AA2)</f>
        <v>2023</v>
      </c>
      <c r="AC2" s="87">
        <f t="shared" ref="AC2" si="9">IF(AC3=1,AB2+1,AB2)</f>
        <v>2023</v>
      </c>
      <c r="AD2" s="87">
        <f t="shared" ref="AD2" si="10">IF(AD3=1,AC2+1,AC2)</f>
        <v>2023</v>
      </c>
      <c r="AE2" s="87">
        <f t="shared" ref="AE2" si="11">IF(AE3=1,AD2+1,AD2)</f>
        <v>2023</v>
      </c>
      <c r="AF2" s="87">
        <f t="shared" ref="AF2" si="12">IF(AF3=1,AE2+1,AE2)</f>
        <v>2023</v>
      </c>
      <c r="AG2" s="87">
        <f t="shared" ref="AG2" si="13">IF(AG3=1,AF2+1,AF2)</f>
        <v>2023</v>
      </c>
      <c r="AH2" s="87">
        <f t="shared" ref="AH2" si="14">IF(AH3=1,AG2+1,AG2)</f>
        <v>2023</v>
      </c>
      <c r="AI2" s="87">
        <f t="shared" ref="AI2" si="15">IF(AI3=1,AH2+1,AH2)</f>
        <v>2023</v>
      </c>
      <c r="AJ2" s="87">
        <f t="shared" ref="AJ2" si="16">IF(AJ3=1,AI2+1,AI2)</f>
        <v>2023</v>
      </c>
      <c r="AK2" s="87">
        <f t="shared" ref="AK2:AN2" si="17">IF(AK3=1,AJ2+1,AJ2)</f>
        <v>2023</v>
      </c>
      <c r="AL2" s="87">
        <f t="shared" si="17"/>
        <v>2024</v>
      </c>
      <c r="AM2" s="87">
        <f t="shared" si="17"/>
        <v>2024</v>
      </c>
      <c r="AN2" s="87">
        <f t="shared" si="17"/>
        <v>2024</v>
      </c>
      <c r="AO2" s="87">
        <f t="shared" ref="AO2" si="18">IF(AO3=1,AN2+1,AN2)</f>
        <v>2024</v>
      </c>
      <c r="AP2" s="87">
        <f t="shared" ref="AP2" si="19">IF(AP3=1,AO2+1,AO2)</f>
        <v>2024</v>
      </c>
      <c r="AQ2" s="87">
        <f t="shared" ref="AQ2" si="20">IF(AQ3=1,AP2+1,AP2)</f>
        <v>2024</v>
      </c>
      <c r="AR2" s="87">
        <f t="shared" ref="AR2" si="21">IF(AR3=1,AQ2+1,AQ2)</f>
        <v>2024</v>
      </c>
      <c r="AS2" s="87">
        <f t="shared" ref="AS2" si="22">IF(AS3=1,AR2+1,AR2)</f>
        <v>2024</v>
      </c>
      <c r="AT2" s="87">
        <f t="shared" ref="AT2" si="23">IF(AT3=1,AS2+1,AS2)</f>
        <v>2024</v>
      </c>
      <c r="AU2" s="87">
        <f t="shared" ref="AU2" si="24">IF(AU3=1,AT2+1,AT2)</f>
        <v>2024</v>
      </c>
      <c r="AV2" s="87">
        <f t="shared" ref="AV2" si="25">IF(AV3=1,AU2+1,AU2)</f>
        <v>2024</v>
      </c>
    </row>
    <row r="3" spans="1:48" x14ac:dyDescent="0.2">
      <c r="A3" s="86"/>
      <c r="B3" s="87">
        <v>1</v>
      </c>
      <c r="C3" s="87">
        <v>2</v>
      </c>
      <c r="D3" s="87">
        <v>3</v>
      </c>
      <c r="E3" s="87">
        <v>4</v>
      </c>
      <c r="F3" s="87">
        <v>5</v>
      </c>
      <c r="G3" s="87">
        <v>6</v>
      </c>
      <c r="H3" s="87">
        <v>7</v>
      </c>
      <c r="I3" s="87">
        <v>8</v>
      </c>
      <c r="J3" s="87">
        <v>9</v>
      </c>
      <c r="K3" s="87">
        <v>10</v>
      </c>
      <c r="L3" s="87">
        <v>11</v>
      </c>
      <c r="M3" s="87">
        <f>IF(L3&lt;12,L3+1,1)</f>
        <v>12</v>
      </c>
      <c r="N3" s="87">
        <f t="shared" ref="N3:S3" si="26">IF(M3&lt;12,M3+1,1)</f>
        <v>1</v>
      </c>
      <c r="O3" s="87">
        <f t="shared" si="26"/>
        <v>2</v>
      </c>
      <c r="P3" s="87">
        <f t="shared" si="26"/>
        <v>3</v>
      </c>
      <c r="Q3" s="87">
        <f t="shared" si="26"/>
        <v>4</v>
      </c>
      <c r="R3" s="87">
        <f t="shared" si="26"/>
        <v>5</v>
      </c>
      <c r="S3" s="87">
        <f t="shared" si="26"/>
        <v>6</v>
      </c>
      <c r="T3" s="87">
        <f t="shared" ref="T3" si="27">IF(S3&lt;12,S3+1,1)</f>
        <v>7</v>
      </c>
      <c r="U3" s="87">
        <f t="shared" ref="U3" si="28">IF(T3&lt;12,T3+1,1)</f>
        <v>8</v>
      </c>
      <c r="V3" s="87">
        <f t="shared" ref="V3" si="29">IF(U3&lt;12,U3+1,1)</f>
        <v>9</v>
      </c>
      <c r="W3" s="87">
        <f t="shared" ref="W3" si="30">IF(V3&lt;12,V3+1,1)</f>
        <v>10</v>
      </c>
      <c r="X3" s="87">
        <f t="shared" ref="X3:Y3" si="31">IF(W3&lt;12,W3+1,1)</f>
        <v>11</v>
      </c>
      <c r="Y3" s="87">
        <f t="shared" si="31"/>
        <v>12</v>
      </c>
      <c r="Z3" s="87">
        <f t="shared" ref="Z3" si="32">IF(Y3&lt;12,Y3+1,1)</f>
        <v>1</v>
      </c>
      <c r="AA3" s="87">
        <f t="shared" ref="AA3" si="33">IF(Z3&lt;12,Z3+1,1)</f>
        <v>2</v>
      </c>
      <c r="AB3" s="87">
        <f t="shared" ref="AB3" si="34">IF(AA3&lt;12,AA3+1,1)</f>
        <v>3</v>
      </c>
      <c r="AC3" s="87">
        <f t="shared" ref="AC3" si="35">IF(AB3&lt;12,AB3+1,1)</f>
        <v>4</v>
      </c>
      <c r="AD3" s="87">
        <f t="shared" ref="AD3" si="36">IF(AC3&lt;12,AC3+1,1)</f>
        <v>5</v>
      </c>
      <c r="AE3" s="87">
        <f t="shared" ref="AE3" si="37">IF(AD3&lt;12,AD3+1,1)</f>
        <v>6</v>
      </c>
      <c r="AF3" s="87">
        <f t="shared" ref="AF3" si="38">IF(AE3&lt;12,AE3+1,1)</f>
        <v>7</v>
      </c>
      <c r="AG3" s="87">
        <f t="shared" ref="AG3" si="39">IF(AF3&lt;12,AF3+1,1)</f>
        <v>8</v>
      </c>
      <c r="AH3" s="87">
        <f t="shared" ref="AH3" si="40">IF(AG3&lt;12,AG3+1,1)</f>
        <v>9</v>
      </c>
      <c r="AI3" s="87">
        <f t="shared" ref="AI3" si="41">IF(AH3&lt;12,AH3+1,1)</f>
        <v>10</v>
      </c>
      <c r="AJ3" s="87">
        <f t="shared" ref="AJ3" si="42">IF(AI3&lt;12,AI3+1,1)</f>
        <v>11</v>
      </c>
      <c r="AK3" s="87">
        <f t="shared" ref="AK3:AN3" si="43">IF(AJ3&lt;12,AJ3+1,1)</f>
        <v>12</v>
      </c>
      <c r="AL3" s="87">
        <f t="shared" si="43"/>
        <v>1</v>
      </c>
      <c r="AM3" s="87">
        <f t="shared" si="43"/>
        <v>2</v>
      </c>
      <c r="AN3" s="87">
        <f t="shared" si="43"/>
        <v>3</v>
      </c>
      <c r="AO3" s="87">
        <f t="shared" ref="AO3" si="44">IF(AN3&lt;12,AN3+1,1)</f>
        <v>4</v>
      </c>
      <c r="AP3" s="87">
        <f t="shared" ref="AP3" si="45">IF(AO3&lt;12,AO3+1,1)</f>
        <v>5</v>
      </c>
      <c r="AQ3" s="87">
        <f t="shared" ref="AQ3" si="46">IF(AP3&lt;12,AP3+1,1)</f>
        <v>6</v>
      </c>
      <c r="AR3" s="87">
        <f t="shared" ref="AR3" si="47">IF(AQ3&lt;12,AQ3+1,1)</f>
        <v>7</v>
      </c>
      <c r="AS3" s="87">
        <f t="shared" ref="AS3" si="48">IF(AR3&lt;12,AR3+1,1)</f>
        <v>8</v>
      </c>
      <c r="AT3" s="87">
        <f t="shared" ref="AT3" si="49">IF(AS3&lt;12,AS3+1,1)</f>
        <v>9</v>
      </c>
      <c r="AU3" s="87">
        <f t="shared" ref="AU3" si="50">IF(AT3&lt;12,AT3+1,1)</f>
        <v>10</v>
      </c>
      <c r="AV3" s="87">
        <f t="shared" ref="AV3" si="51">IF(AU3&lt;12,AU3+1,1)</f>
        <v>11</v>
      </c>
    </row>
    <row r="4" spans="1:48" ht="27.75" x14ac:dyDescent="0.2">
      <c r="A4" s="72" t="s">
        <v>74</v>
      </c>
      <c r="B4" s="88" t="str">
        <f t="shared" ref="B4:E4" si="52">TEXT(B3*29, "Mmmm")&amp;" "&amp;B2&amp;" Discount"</f>
        <v>January 2021 Discount</v>
      </c>
      <c r="C4" s="88" t="str">
        <f t="shared" si="52"/>
        <v>February 2021 Discount</v>
      </c>
      <c r="D4" s="88" t="str">
        <f t="shared" si="52"/>
        <v>March 2021 Discount</v>
      </c>
      <c r="E4" s="88" t="str">
        <f t="shared" si="52"/>
        <v>April 2021 Discount</v>
      </c>
      <c r="F4" s="88" t="str">
        <f t="shared" ref="F4:I4" si="53">TEXT(F3*29, "Mmmm")&amp;" "&amp;F2&amp;" Discount"</f>
        <v>May 2021 Discount</v>
      </c>
      <c r="G4" s="88" t="str">
        <f t="shared" si="53"/>
        <v>June 2021 Discount</v>
      </c>
      <c r="H4" s="88" t="str">
        <f t="shared" si="53"/>
        <v>July 2021 Discount</v>
      </c>
      <c r="I4" s="88" t="str">
        <f t="shared" si="53"/>
        <v>August 2021 Discount</v>
      </c>
      <c r="J4" s="88" t="str">
        <f>TEXT(J3*29, "Mmmm")&amp;" "&amp;J2&amp;" Discount"</f>
        <v>September 2021 Discount</v>
      </c>
      <c r="K4" s="88" t="str">
        <f t="shared" ref="K4:Q4" si="54">TEXT(K3*29, "Mmmm")&amp;" "&amp;K2&amp;" Discount"</f>
        <v>October 2021 Discount</v>
      </c>
      <c r="L4" s="88" t="str">
        <f t="shared" si="54"/>
        <v>November 2021 Discount</v>
      </c>
      <c r="M4" s="88" t="str">
        <f t="shared" si="54"/>
        <v>December 2021 Discount</v>
      </c>
      <c r="N4" s="88" t="str">
        <f t="shared" si="54"/>
        <v>January 2022 Discount</v>
      </c>
      <c r="O4" s="88" t="str">
        <f t="shared" si="54"/>
        <v>February 2022 Discount</v>
      </c>
      <c r="P4" s="88" t="str">
        <f t="shared" si="54"/>
        <v>March 2022 Discount</v>
      </c>
      <c r="Q4" s="88" t="str">
        <f t="shared" si="54"/>
        <v>April 2022 Discount</v>
      </c>
      <c r="R4" s="88" t="str">
        <f t="shared" ref="R4" si="55">TEXT(R3*29, "Mmmm")&amp;" "&amp;R2&amp;" Discount"</f>
        <v>May 2022 Discount</v>
      </c>
      <c r="S4" s="88" t="str">
        <f t="shared" ref="S4:X4" si="56">TEXT(S3*29, "Mmmm")&amp;" "&amp;S2&amp;" Discount"</f>
        <v>June 2022 Discount</v>
      </c>
      <c r="T4" s="88" t="str">
        <f t="shared" si="56"/>
        <v>July 2022 Discount</v>
      </c>
      <c r="U4" s="88" t="str">
        <f t="shared" si="56"/>
        <v>August 2022 Discount</v>
      </c>
      <c r="V4" s="88" t="str">
        <f t="shared" si="56"/>
        <v>September 2022 Discount</v>
      </c>
      <c r="W4" s="88" t="str">
        <f t="shared" si="56"/>
        <v>October 2022 Discount</v>
      </c>
      <c r="X4" s="88" t="str">
        <f t="shared" si="56"/>
        <v>November 2022 Discount</v>
      </c>
      <c r="Y4" s="88" t="str">
        <f t="shared" ref="Y4:AJ4" si="57">TEXT(Y3*29, "Mmmm")&amp;" "&amp;Y2&amp;" Discount"</f>
        <v>December 2022 Discount</v>
      </c>
      <c r="Z4" s="88" t="str">
        <f t="shared" si="57"/>
        <v>January 2023 Discount</v>
      </c>
      <c r="AA4" s="88" t="str">
        <f t="shared" si="57"/>
        <v>February 2023 Discount</v>
      </c>
      <c r="AB4" s="88" t="str">
        <f t="shared" si="57"/>
        <v>March 2023 Discount</v>
      </c>
      <c r="AC4" s="88" t="str">
        <f t="shared" si="57"/>
        <v>April 2023 Discount</v>
      </c>
      <c r="AD4" s="88" t="str">
        <f t="shared" si="57"/>
        <v>May 2023 Discount</v>
      </c>
      <c r="AE4" s="88" t="str">
        <f t="shared" si="57"/>
        <v>June 2023 Discount</v>
      </c>
      <c r="AF4" s="88" t="str">
        <f t="shared" si="57"/>
        <v>July 2023 Discount</v>
      </c>
      <c r="AG4" s="88" t="str">
        <f t="shared" si="57"/>
        <v>August 2023 Discount</v>
      </c>
      <c r="AH4" s="88" t="str">
        <f t="shared" si="57"/>
        <v>September 2023 Discount</v>
      </c>
      <c r="AI4" s="88" t="str">
        <f t="shared" si="57"/>
        <v>October 2023 Discount</v>
      </c>
      <c r="AJ4" s="88" t="str">
        <f t="shared" si="57"/>
        <v>November 2023 Discount</v>
      </c>
      <c r="AK4" s="88" t="str">
        <f t="shared" ref="AK4:AL4" si="58">TEXT(AK3*29, "Mmmm")&amp;" "&amp;AK2&amp;" Discount"</f>
        <v>December 2023 Discount</v>
      </c>
      <c r="AL4" s="88" t="str">
        <f t="shared" si="58"/>
        <v>January 2024 Discount</v>
      </c>
      <c r="AM4" s="88" t="str">
        <f t="shared" ref="AM4:AV4" si="59">TEXT(AM3*29, "Mmmm")&amp;" "&amp;AM2&amp;" Discount"</f>
        <v>February 2024 Discount</v>
      </c>
      <c r="AN4" s="88" t="str">
        <f t="shared" si="59"/>
        <v>March 2024 Discount</v>
      </c>
      <c r="AO4" s="88" t="str">
        <f t="shared" si="59"/>
        <v>April 2024 Discount</v>
      </c>
      <c r="AP4" s="88" t="str">
        <f t="shared" si="59"/>
        <v>May 2024 Discount</v>
      </c>
      <c r="AQ4" s="88" t="str">
        <f t="shared" si="59"/>
        <v>June 2024 Discount</v>
      </c>
      <c r="AR4" s="88" t="str">
        <f t="shared" si="59"/>
        <v>July 2024 Discount</v>
      </c>
      <c r="AS4" s="88" t="str">
        <f t="shared" si="59"/>
        <v>August 2024 Discount</v>
      </c>
      <c r="AT4" s="88" t="str">
        <f t="shared" si="59"/>
        <v>September 2024 Discount</v>
      </c>
      <c r="AU4" s="88" t="str">
        <f t="shared" si="59"/>
        <v>October 2024 Discount</v>
      </c>
      <c r="AV4" s="88" t="str">
        <f t="shared" si="59"/>
        <v>November 2024 Discount</v>
      </c>
    </row>
    <row r="5" spans="1:48" x14ac:dyDescent="0.2">
      <c r="A5" t="s">
        <v>81</v>
      </c>
      <c r="B5" s="73">
        <v>123307.15</v>
      </c>
      <c r="C5" s="73">
        <v>123840.06</v>
      </c>
      <c r="D5" s="73">
        <v>123966.78</v>
      </c>
      <c r="E5" s="73">
        <v>139406.95000000001</v>
      </c>
      <c r="F5" s="73">
        <v>120093.63</v>
      </c>
      <c r="G5" s="73">
        <v>121085.7</v>
      </c>
      <c r="H5" s="73">
        <v>136465.76</v>
      </c>
      <c r="I5" s="73">
        <v>137048.03</v>
      </c>
      <c r="J5" s="73">
        <v>143982.35999999999</v>
      </c>
      <c r="K5" s="73">
        <v>158115.45000000001</v>
      </c>
      <c r="L5" s="73">
        <v>134129.62</v>
      </c>
      <c r="M5" s="73">
        <v>141437.54999999999</v>
      </c>
      <c r="N5" s="73">
        <v>143658.22</v>
      </c>
      <c r="O5" s="73">
        <v>130241.48</v>
      </c>
      <c r="P5" s="73">
        <v>130851.9</v>
      </c>
      <c r="Q5" s="73">
        <v>98378.57</v>
      </c>
      <c r="R5" s="73">
        <v>103454.37</v>
      </c>
      <c r="S5" s="73">
        <v>102666.59</v>
      </c>
      <c r="T5" s="73">
        <v>102086.63</v>
      </c>
      <c r="U5" s="73">
        <v>112043.05</v>
      </c>
      <c r="V5" s="73">
        <v>141584.4</v>
      </c>
      <c r="W5" s="73">
        <v>142576.43</v>
      </c>
      <c r="X5" s="73">
        <v>135367.51</v>
      </c>
      <c r="Y5" s="73">
        <v>143671.69</v>
      </c>
      <c r="Z5" s="73">
        <v>158948.95000000001</v>
      </c>
      <c r="AA5" s="73">
        <v>134899.81</v>
      </c>
      <c r="AB5" s="73">
        <v>159736.72</v>
      </c>
      <c r="AC5" s="73">
        <v>133185.82</v>
      </c>
      <c r="AD5" s="73">
        <v>138769.91</v>
      </c>
      <c r="AE5" s="73">
        <v>163115.1</v>
      </c>
      <c r="AF5" s="73">
        <v>180970.51</v>
      </c>
      <c r="AG5" s="73">
        <v>178198.14</v>
      </c>
      <c r="AH5" s="73">
        <v>216678.78</v>
      </c>
      <c r="AI5" s="73">
        <v>210544.02</v>
      </c>
      <c r="AJ5" s="73">
        <v>208319.64</v>
      </c>
      <c r="AK5" s="73">
        <v>203994.55</v>
      </c>
      <c r="AL5" s="73">
        <v>224871.49</v>
      </c>
      <c r="AM5" s="73">
        <v>232756.22</v>
      </c>
      <c r="AN5" s="73">
        <v>243639.21</v>
      </c>
      <c r="AO5" s="73">
        <v>238737.12</v>
      </c>
      <c r="AP5" s="73">
        <v>250062.63</v>
      </c>
      <c r="AQ5" s="73">
        <v>244176.34</v>
      </c>
      <c r="AR5" s="73">
        <v>270800.78000000003</v>
      </c>
      <c r="AS5" s="73">
        <v>309120.21000000002</v>
      </c>
      <c r="AT5" s="73">
        <v>344167.09</v>
      </c>
      <c r="AU5" s="73">
        <v>359301.2</v>
      </c>
      <c r="AV5" s="73">
        <v>307957.53000000003</v>
      </c>
    </row>
    <row r="6" spans="1:48" x14ac:dyDescent="0.2">
      <c r="A6" t="s">
        <v>75</v>
      </c>
      <c r="B6" s="73">
        <v>0</v>
      </c>
      <c r="C6" s="73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v>0</v>
      </c>
      <c r="AD6" s="73">
        <v>0</v>
      </c>
      <c r="AE6" s="73">
        <v>0</v>
      </c>
      <c r="AF6" s="73">
        <v>0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73">
        <v>0</v>
      </c>
      <c r="AN6" s="73">
        <v>0</v>
      </c>
      <c r="AO6" s="73">
        <v>0</v>
      </c>
      <c r="AP6" s="73">
        <v>0</v>
      </c>
      <c r="AQ6" s="73">
        <v>0</v>
      </c>
      <c r="AR6" s="73">
        <v>0</v>
      </c>
      <c r="AS6" s="73">
        <v>0</v>
      </c>
      <c r="AT6" s="73">
        <v>0</v>
      </c>
      <c r="AU6" s="73">
        <v>0</v>
      </c>
      <c r="AV6" s="73">
        <v>0</v>
      </c>
    </row>
    <row r="7" spans="1:48" x14ac:dyDescent="0.2">
      <c r="A7" t="s">
        <v>76</v>
      </c>
      <c r="B7" s="73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</row>
    <row r="8" spans="1:48" x14ac:dyDescent="0.2">
      <c r="A8" s="49" t="s">
        <v>77</v>
      </c>
      <c r="B8" s="73">
        <v>626473.4</v>
      </c>
      <c r="C8" s="73">
        <v>614683.68999999994</v>
      </c>
      <c r="D8" s="73">
        <v>626222.87</v>
      </c>
      <c r="E8" s="73">
        <v>669834.54</v>
      </c>
      <c r="F8" s="73">
        <v>578266.64</v>
      </c>
      <c r="G8" s="73">
        <v>624955.72</v>
      </c>
      <c r="H8" s="73">
        <v>692157.9</v>
      </c>
      <c r="I8" s="73">
        <v>669511.96</v>
      </c>
      <c r="J8" s="73">
        <v>685285.53</v>
      </c>
      <c r="K8" s="73">
        <v>770287.18</v>
      </c>
      <c r="L8" s="73">
        <v>693506.03</v>
      </c>
      <c r="M8" s="73">
        <v>671466.49</v>
      </c>
      <c r="N8" s="73">
        <v>638085.31000000006</v>
      </c>
      <c r="O8" s="73">
        <v>488536.69</v>
      </c>
      <c r="P8" s="73">
        <v>470900.45</v>
      </c>
      <c r="Q8" s="73">
        <v>394050.5</v>
      </c>
      <c r="R8" s="73">
        <v>354709.43</v>
      </c>
      <c r="S8" s="73">
        <v>376664.04</v>
      </c>
      <c r="T8" s="73">
        <v>440917.32</v>
      </c>
      <c r="U8" s="73">
        <v>470202.06</v>
      </c>
      <c r="V8" s="73">
        <v>635279.67000000004</v>
      </c>
      <c r="W8" s="73">
        <v>607581.25</v>
      </c>
      <c r="X8" s="73">
        <v>590035.64</v>
      </c>
      <c r="Y8" s="73">
        <v>634076.9</v>
      </c>
      <c r="Z8" s="73">
        <v>712093.92</v>
      </c>
      <c r="AA8" s="73">
        <v>560146.76</v>
      </c>
      <c r="AB8" s="73">
        <v>692581.81</v>
      </c>
      <c r="AC8" s="73">
        <v>584345.82999999996</v>
      </c>
      <c r="AD8" s="73">
        <v>615370.99</v>
      </c>
      <c r="AE8" s="73">
        <v>813037.57</v>
      </c>
      <c r="AF8" s="73">
        <v>882549.16</v>
      </c>
      <c r="AG8" s="73">
        <v>848008.89</v>
      </c>
      <c r="AH8" s="73">
        <v>1007795.5</v>
      </c>
      <c r="AI8" s="73">
        <v>978783.47</v>
      </c>
      <c r="AJ8" s="73">
        <v>1053015.1599999999</v>
      </c>
      <c r="AK8" s="73">
        <v>1077876.31</v>
      </c>
      <c r="AL8" s="73">
        <v>1104489.3500000001</v>
      </c>
      <c r="AM8" s="73">
        <v>1268890.73</v>
      </c>
      <c r="AN8" s="73">
        <v>1738236.48</v>
      </c>
      <c r="AO8" s="73">
        <v>1855439.66</v>
      </c>
      <c r="AP8" s="73">
        <v>2119012.42</v>
      </c>
      <c r="AQ8" s="73">
        <v>2107518.08</v>
      </c>
      <c r="AR8" s="73">
        <v>2269392.21</v>
      </c>
      <c r="AS8" s="73">
        <v>2426764.59</v>
      </c>
      <c r="AT8" s="73">
        <v>2853124.92</v>
      </c>
      <c r="AU8" s="73">
        <v>3051172.69</v>
      </c>
      <c r="AV8" s="73">
        <v>2696638.96</v>
      </c>
    </row>
    <row r="9" spans="1:48" x14ac:dyDescent="0.2">
      <c r="A9" s="74" t="s">
        <v>78</v>
      </c>
      <c r="B9" s="155">
        <f t="shared" ref="B9:X9" si="60">SUM(B5:B8)</f>
        <v>749780.55</v>
      </c>
      <c r="C9" s="155">
        <f t="shared" si="60"/>
        <v>738523.75</v>
      </c>
      <c r="D9" s="155">
        <f t="shared" si="60"/>
        <v>750189.65</v>
      </c>
      <c r="E9" s="155">
        <f t="shared" si="60"/>
        <v>809241.49</v>
      </c>
      <c r="F9" s="155">
        <f t="shared" si="60"/>
        <v>698360.27</v>
      </c>
      <c r="G9" s="155">
        <f t="shared" si="60"/>
        <v>746041.41999999993</v>
      </c>
      <c r="H9" s="155">
        <f t="shared" si="60"/>
        <v>828623.66</v>
      </c>
      <c r="I9" s="155">
        <f t="shared" si="60"/>
        <v>806559.99</v>
      </c>
      <c r="J9" s="155">
        <f t="shared" si="60"/>
        <v>829267.89</v>
      </c>
      <c r="K9" s="155">
        <f t="shared" si="60"/>
        <v>928402.63000000012</v>
      </c>
      <c r="L9" s="155">
        <f t="shared" si="60"/>
        <v>827635.65</v>
      </c>
      <c r="M9" s="155">
        <f t="shared" si="60"/>
        <v>812904.04</v>
      </c>
      <c r="N9" s="155">
        <f t="shared" si="60"/>
        <v>781743.53</v>
      </c>
      <c r="O9" s="155">
        <f t="shared" si="60"/>
        <v>618778.17000000004</v>
      </c>
      <c r="P9" s="155">
        <f t="shared" si="60"/>
        <v>601752.35</v>
      </c>
      <c r="Q9" s="155">
        <f t="shared" si="60"/>
        <v>492429.07</v>
      </c>
      <c r="R9" s="155">
        <f t="shared" si="60"/>
        <v>458163.8</v>
      </c>
      <c r="S9" s="155">
        <f t="shared" si="60"/>
        <v>479330.63</v>
      </c>
      <c r="T9" s="155">
        <f t="shared" si="60"/>
        <v>543003.94999999995</v>
      </c>
      <c r="U9" s="155">
        <f t="shared" si="60"/>
        <v>582245.11</v>
      </c>
      <c r="V9" s="155">
        <f t="shared" si="60"/>
        <v>776864.07000000007</v>
      </c>
      <c r="W9" s="155">
        <f t="shared" si="60"/>
        <v>750157.67999999993</v>
      </c>
      <c r="X9" s="155">
        <f t="shared" si="60"/>
        <v>725403.15</v>
      </c>
      <c r="Y9" s="155">
        <f t="shared" ref="Y9:AJ9" si="61">SUM(Y5:Y8)</f>
        <v>777748.59000000008</v>
      </c>
      <c r="Z9" s="155">
        <f t="shared" si="61"/>
        <v>871042.87000000011</v>
      </c>
      <c r="AA9" s="155">
        <f t="shared" si="61"/>
        <v>695046.57000000007</v>
      </c>
      <c r="AB9" s="155">
        <f t="shared" si="61"/>
        <v>852318.53</v>
      </c>
      <c r="AC9" s="155">
        <f t="shared" si="61"/>
        <v>717531.64999999991</v>
      </c>
      <c r="AD9" s="155">
        <f t="shared" si="61"/>
        <v>754140.9</v>
      </c>
      <c r="AE9" s="155">
        <f t="shared" si="61"/>
        <v>976152.66999999993</v>
      </c>
      <c r="AF9" s="155">
        <f t="shared" si="61"/>
        <v>1063519.67</v>
      </c>
      <c r="AG9" s="155">
        <f t="shared" si="61"/>
        <v>1026207.03</v>
      </c>
      <c r="AH9" s="155">
        <f t="shared" si="61"/>
        <v>1224474.28</v>
      </c>
      <c r="AI9" s="155">
        <f t="shared" si="61"/>
        <v>1189327.49</v>
      </c>
      <c r="AJ9" s="155">
        <f t="shared" si="61"/>
        <v>1261334.7999999998</v>
      </c>
      <c r="AK9" s="155">
        <f t="shared" ref="AK9:AM9" si="62">SUM(AK5:AK8)</f>
        <v>1281870.8600000001</v>
      </c>
      <c r="AL9" s="155">
        <f t="shared" si="62"/>
        <v>1329360.8400000001</v>
      </c>
      <c r="AM9" s="155">
        <f t="shared" si="62"/>
        <v>1501646.95</v>
      </c>
      <c r="AN9" s="155">
        <f t="shared" ref="AN9:AV9" si="63">SUM(AN5:AN8)</f>
        <v>1981875.69</v>
      </c>
      <c r="AO9" s="155">
        <f t="shared" si="63"/>
        <v>2094176.7799999998</v>
      </c>
      <c r="AP9" s="155">
        <f t="shared" si="63"/>
        <v>2369075.0499999998</v>
      </c>
      <c r="AQ9" s="155">
        <f t="shared" si="63"/>
        <v>2351694.42</v>
      </c>
      <c r="AR9" s="155">
        <f t="shared" si="63"/>
        <v>2540192.9900000002</v>
      </c>
      <c r="AS9" s="155">
        <f t="shared" si="63"/>
        <v>2735884.8</v>
      </c>
      <c r="AT9" s="155">
        <f t="shared" si="63"/>
        <v>3197292.01</v>
      </c>
      <c r="AU9" s="155">
        <f t="shared" si="63"/>
        <v>3410473.89</v>
      </c>
      <c r="AV9" s="155">
        <f t="shared" si="63"/>
        <v>3004596.49</v>
      </c>
    </row>
    <row r="10" spans="1:48" x14ac:dyDescent="0.2">
      <c r="B10" s="73"/>
      <c r="C10" s="73"/>
      <c r="D10" s="73"/>
      <c r="E10" s="73"/>
    </row>
    <row r="11" spans="1:48" x14ac:dyDescent="0.2">
      <c r="B11" s="73"/>
      <c r="C11" s="73"/>
      <c r="D11" s="73"/>
      <c r="E11" s="73"/>
    </row>
    <row r="12" spans="1:48" x14ac:dyDescent="0.2">
      <c r="A12" t="s">
        <v>79</v>
      </c>
      <c r="B12" s="75"/>
      <c r="C12" s="75"/>
      <c r="D12" s="75"/>
      <c r="E12" s="75"/>
    </row>
    <row r="13" spans="1:48" x14ac:dyDescent="0.2">
      <c r="A13" t="s">
        <v>80</v>
      </c>
    </row>
  </sheetData>
  <mergeCells count="1">
    <mergeCell ref="A1:E1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2E7EF8-6663-4F87-93C0-A052CF6BBCB9}">
  <ds:schemaRefs>
    <ds:schemaRef ds:uri="http://schemas.microsoft.com/office/2006/metadata/properties"/>
    <ds:schemaRef ds:uri="http://www.w3.org/2000/xmlns/"/>
    <ds:schemaRef ds:uri="74a816c8-2012-4a06-9eee-7fac2e12fc01"/>
    <ds:schemaRef ds:uri="http://schemas.microsoft.com/office/infopath/2007/PartnerControls"/>
    <ds:schemaRef ds:uri="1ecad1bf-37b2-4fe5-8d43-af4e731dea56"/>
    <ds:schemaRef ds:uri="http://www.w3.org/2001/XMLSchema-instance"/>
  </ds:schemaRefs>
</ds:datastoreItem>
</file>

<file path=customXml/itemProps2.xml><?xml version="1.0" encoding="utf-8"?>
<ds:datastoreItem xmlns:ds="http://schemas.openxmlformats.org/officeDocument/2006/customXml" ds:itemID="{1A0EFE87-0011-4ABB-A729-CED2C70C94A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1eecfb3-5e1e-4c14-a199-821554a453d0"/>
    <ds:schemaRef ds:uri="74a816c8-2012-4a06-9eee-7fac2e12fc01"/>
    <ds:schemaRef ds:uri="1ecad1bf-37b2-4fe5-8d43-af4e731dea56"/>
  </ds:schemaRefs>
</ds:datastoreItem>
</file>

<file path=customXml/itemProps3.xml><?xml version="1.0" encoding="utf-8"?>
<ds:datastoreItem xmlns:ds="http://schemas.openxmlformats.org/officeDocument/2006/customXml" ds:itemID="{31A571AD-4037-45B3-BA9D-B365970EBF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Cover</vt:lpstr>
      <vt:lpstr>Table of Contents</vt:lpstr>
      <vt:lpstr>TRR_Summary</vt:lpstr>
      <vt:lpstr>TRR_Projections</vt:lpstr>
      <vt:lpstr>Data Source</vt:lpstr>
      <vt:lpstr>DR_1</vt:lpstr>
      <vt:lpstr>DR_2</vt:lpstr>
      <vt:lpstr>DR_3A Participants</vt:lpstr>
      <vt:lpstr>DR_4</vt:lpstr>
      <vt:lpstr>051018 Model_Applications</vt:lpstr>
      <vt:lpstr>051018 Model_Assumptions</vt:lpstr>
      <vt:lpstr>051018 Model_Model</vt:lpstr>
      <vt:lpstr>051018 Model_Cost Estimates</vt:lpstr>
      <vt:lpstr>Cover!Print_Area</vt:lpstr>
      <vt:lpstr>Data Source!Print_Area</vt:lpstr>
      <vt:lpstr>DR_1!Print_Area</vt:lpstr>
      <vt:lpstr>DR_2!Print_Area</vt:lpstr>
      <vt:lpstr>DR_3A Participants!Print_Area</vt:lpstr>
      <vt:lpstr>DR_4!Print_Area</vt:lpstr>
      <vt:lpstr>Table of Contents!Print_Area</vt:lpstr>
      <vt:lpstr>TRR_Projections!Print_Area</vt:lpstr>
      <vt:lpstr>DR_1!Print_Titles</vt:lpstr>
      <vt:lpstr>DR_2!Print_Titles</vt:lpstr>
      <vt:lpstr>DR_3A Participants!Print_Titles</vt:lpstr>
      <vt:lpstr>DR_4!Print_Titles</vt:lpstr>
      <vt:lpstr>TRR_Projections!Print_Titles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marcellawigg</dc:creator>
  <cp:keywords/>
  <dc:description/>
  <cp:lastModifiedBy>Jack Falstad</cp:lastModifiedBy>
  <cp:revision/>
  <dcterms:created xsi:type="dcterms:W3CDTF">2017-11-15T18:58:43Z</dcterms:created>
  <dcterms:modified xsi:type="dcterms:W3CDTF">2025-02-11T19:03:00Z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_dlc_DocIdItemGuid">
    <vt:lpwstr>606d4b9e-8ddb-46db-94cd-9a3176ff0bb0</vt:lpwstr>
  </property>
  <property fmtid="{D5CDD505-2E9C-101B-9397-08002B2CF9AE}" pid="4" name="MediaServiceImageTags">
    <vt:lpwstr/>
  </property>
</Properties>
</file>